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Planning" sheetId="1" r:id="rId1"/>
    <sheet name="Berekening" sheetId="2" r:id="rId2"/>
    <sheet name="CZS-%" sheetId="3" r:id="rId3"/>
    <sheet name="Luchttabel" sheetId="4" r:id="rId4"/>
    <sheet name="Tussentijd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<sst xmlns="http://schemas.openxmlformats.org/spreadsheetml/2006/main" count="491" uniqueCount="146">
  <si>
    <t>ELD</t>
  </si>
  <si>
    <t>§</t>
  </si>
  <si>
    <t>Opdracht + formule</t>
  </si>
  <si>
    <t>Info</t>
  </si>
  <si>
    <t>Berekening</t>
  </si>
  <si>
    <t>Gegevens</t>
  </si>
  <si>
    <t>Analyse ademmengsel(s)</t>
  </si>
  <si>
    <t>Meting vóór de duik !</t>
  </si>
  <si>
    <t>2a</t>
  </si>
  <si>
    <t>Max D zonder inspanning</t>
  </si>
  <si>
    <t>Tabel 5</t>
  </si>
  <si>
    <r>
      <t>fr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§ 1</t>
    </r>
  </si>
  <si>
    <t>2b</t>
  </si>
  <si>
    <t>Max D met inspanning</t>
  </si>
  <si>
    <t>Duikdiepte (&lt; § 2 !)</t>
  </si>
  <si>
    <t>Planning</t>
  </si>
  <si>
    <t>Tabel 2</t>
  </si>
  <si>
    <t>Tabel 3</t>
  </si>
  <si>
    <t>5a</t>
  </si>
  <si>
    <t>Tussentijd (in min)</t>
  </si>
  <si>
    <t>Nitrox X</t>
  </si>
  <si>
    <t>Min</t>
  </si>
  <si>
    <t>5b</t>
  </si>
  <si>
    <t>Straftijd</t>
  </si>
  <si>
    <t>Duiktijd</t>
  </si>
  <si>
    <t>Tabel 6a</t>
  </si>
  <si>
    <t>7a</t>
  </si>
  <si>
    <t>Luchttabel met ELD of Nitrox tabel</t>
  </si>
  <si>
    <t>7b</t>
  </si>
  <si>
    <t>S-factor</t>
  </si>
  <si>
    <r>
      <t>pp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op Max D</t>
    </r>
  </si>
  <si>
    <t>Tabel 1</t>
  </si>
  <si>
    <t>CZS-% Max D</t>
  </si>
  <si>
    <t>%/min x duiktijd</t>
  </si>
  <si>
    <t>Tabel 6b §8 en §5</t>
  </si>
  <si>
    <t>%/min x (traptijd 6m)</t>
  </si>
  <si>
    <t>Tabel 6b §9 en §7</t>
  </si>
  <si>
    <t>Totaal CZS-% duik</t>
  </si>
  <si>
    <t>TT/90 = n en CZS% 1°duik/n</t>
  </si>
  <si>
    <t>§6  (§12 1° duik)</t>
  </si>
  <si>
    <t>n =</t>
  </si>
  <si>
    <t>na n intervallen =</t>
  </si>
  <si>
    <t>§10 + §11 + §12</t>
  </si>
  <si>
    <t>Totaal CSZ  =</t>
  </si>
  <si>
    <t>Luchtpauze? CZS% &gt; 80 %</t>
  </si>
  <si>
    <t>Bodemgas</t>
  </si>
  <si>
    <t>Tijd trap</t>
  </si>
  <si>
    <r>
      <t>pp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op trapdiepte</t>
    </r>
  </si>
  <si>
    <t>CZS-% trap</t>
  </si>
  <si>
    <t>1° D =</t>
  </si>
  <si>
    <t>Deco 3 m</t>
  </si>
  <si>
    <t>Deco 6 m</t>
  </si>
  <si>
    <t>Deco 9 m</t>
  </si>
  <si>
    <t>Datum :</t>
  </si>
  <si>
    <t>Functie</t>
  </si>
  <si>
    <t>Naam</t>
  </si>
  <si>
    <t>Brevet / Nitrox</t>
  </si>
  <si>
    <t>Vertrekuur :</t>
  </si>
  <si>
    <t>DL</t>
  </si>
  <si>
    <t>/</t>
  </si>
  <si>
    <t>Duikplaats :</t>
  </si>
  <si>
    <t>MD</t>
  </si>
  <si>
    <t>HS</t>
  </si>
  <si>
    <r>
      <t>(fr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naar boven afronden behalve voor § 4)</t>
    </r>
  </si>
  <si>
    <r>
      <t>D=((1,5 bar / fr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)-1)x10</t>
    </r>
  </si>
  <si>
    <r>
      <t>fr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§ 1</t>
    </r>
  </si>
  <si>
    <t>m</t>
  </si>
  <si>
    <r>
      <t>D=((1,4 bar / fr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)-1)x10</t>
    </r>
  </si>
  <si>
    <t>6a</t>
  </si>
  <si>
    <t>6b</t>
  </si>
  <si>
    <t>Tijd trap 6 m</t>
  </si>
  <si>
    <t>Min op 6 m</t>
  </si>
  <si>
    <t>Tijd trap 3 m</t>
  </si>
  <si>
    <t>Min op 3 m</t>
  </si>
  <si>
    <t>7c</t>
  </si>
  <si>
    <r>
      <t>pp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op Max D</t>
    </r>
  </si>
  <si>
    <r>
      <t>pp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(D/10+1) x fr O</t>
    </r>
    <r>
      <rPr>
        <vertAlign val="subscript"/>
        <sz val="10"/>
        <rFont val="Times New Roman"/>
        <family val="1"/>
      </rPr>
      <t>2</t>
    </r>
  </si>
  <si>
    <t>§ 3 en § 1</t>
  </si>
  <si>
    <t>bar</t>
  </si>
  <si>
    <t>9a</t>
  </si>
  <si>
    <r>
      <t>pp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op 6m</t>
    </r>
  </si>
  <si>
    <r>
      <t>pp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1,6 bar x fr O</t>
    </r>
    <r>
      <rPr>
        <vertAlign val="subscript"/>
        <sz val="10"/>
        <rFont val="Times New Roman"/>
        <family val="1"/>
      </rPr>
      <t>2</t>
    </r>
  </si>
  <si>
    <t>§ 1 (indien gebruik Deco-gas)</t>
  </si>
  <si>
    <t>9b</t>
  </si>
  <si>
    <r>
      <t>pp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op 3m</t>
    </r>
  </si>
  <si>
    <r>
      <t>pp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1,3 bar x fr O</t>
    </r>
    <r>
      <rPr>
        <vertAlign val="subscript"/>
        <sz val="10"/>
        <rFont val="Times New Roman"/>
        <family val="1"/>
      </rPr>
      <t>2</t>
    </r>
  </si>
  <si>
    <t>11a</t>
  </si>
  <si>
    <t>CZS-% trap 6m</t>
  </si>
  <si>
    <t>11b</t>
  </si>
  <si>
    <t>CZS-% trap 3m</t>
  </si>
  <si>
    <t>%/min x (traptijd 3m)</t>
  </si>
  <si>
    <t>Aanvullende informatie :</t>
  </si>
  <si>
    <t>Bodemmengsel</t>
  </si>
  <si>
    <t>Trap op 9 m</t>
  </si>
  <si>
    <t>Min op 9 m</t>
  </si>
  <si>
    <t>7d</t>
  </si>
  <si>
    <r>
      <t>pp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op 9m</t>
    </r>
  </si>
  <si>
    <r>
      <t>pp 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1,9 bar x fr O</t>
    </r>
    <r>
      <rPr>
        <vertAlign val="subscript"/>
        <sz val="10"/>
        <rFont val="Times New Roman"/>
        <family val="1"/>
      </rPr>
      <t>2</t>
    </r>
  </si>
  <si>
    <t>9c</t>
  </si>
  <si>
    <t>CZS-% trap 9m</t>
  </si>
  <si>
    <t>%/min x (traptijd 9m)</t>
  </si>
  <si>
    <t>11c</t>
  </si>
  <si>
    <t>Maximum diepte</t>
  </si>
  <si>
    <t>Te onthouden van deze duik</t>
  </si>
  <si>
    <t>Uur van bovenkomen</t>
  </si>
  <si>
    <t>Totaal SZS-%</t>
  </si>
  <si>
    <t>L</t>
  </si>
  <si>
    <t>ppO2</t>
  </si>
  <si>
    <t>% / Min</t>
  </si>
  <si>
    <t>Luchtpauze (&gt;80%)</t>
  </si>
  <si>
    <t>Trap</t>
  </si>
  <si>
    <t>12m</t>
  </si>
  <si>
    <t>9m</t>
  </si>
  <si>
    <t>6m</t>
  </si>
  <si>
    <t>3m</t>
  </si>
  <si>
    <t>Factor</t>
  </si>
  <si>
    <t>Diepte</t>
  </si>
  <si>
    <t>Comby</t>
  </si>
  <si>
    <t>A</t>
  </si>
  <si>
    <t>B</t>
  </si>
  <si>
    <t>C</t>
  </si>
  <si>
    <t>D</t>
  </si>
  <si>
    <t>E</t>
  </si>
  <si>
    <t>G</t>
  </si>
  <si>
    <t>F</t>
  </si>
  <si>
    <t>H</t>
  </si>
  <si>
    <t>I</t>
  </si>
  <si>
    <t>J</t>
  </si>
  <si>
    <t>K</t>
  </si>
  <si>
    <t>M</t>
  </si>
  <si>
    <t>N</t>
  </si>
  <si>
    <t>Duik nr.:</t>
  </si>
  <si>
    <t>NOK</t>
  </si>
  <si>
    <t>Patrick VAN HOESERLANDE (Hoesy)</t>
  </si>
  <si>
    <t>2*I / GND</t>
  </si>
  <si>
    <t>Lummen</t>
  </si>
  <si>
    <t>Oef  4 duik 2</t>
  </si>
  <si>
    <t>Gevaar</t>
  </si>
  <si>
    <t>u</t>
  </si>
  <si>
    <t>min</t>
  </si>
  <si>
    <t>14 juni 2007</t>
  </si>
  <si>
    <t>Duikgegevens van VORIGE DUIK</t>
  </si>
  <si>
    <t>%</t>
  </si>
  <si>
    <t>Einde vorige</t>
  </si>
  <si>
    <t>Begin duik</t>
  </si>
  <si>
    <t>Tussentijd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</si>
</sst>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00000"/>
    <numFmt numFmtId="175" formatCode="0.00000000"/>
    <numFmt numFmtId="176" formatCode="0.0000000000"/>
    <numFmt numFmtId="177" formatCode="h:mm;@"/>
    <numFmt numFmtId="178" formatCode="0.0"/>
  </numFmts>
  <fonts count="1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vertAlign val="subscript"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Technical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0" fontId="1" fillId="2" borderId="10" xfId="19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9" fontId="1" fillId="0" borderId="10" xfId="19" applyFont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0" fontId="1" fillId="0" borderId="10" xfId="19" applyNumberFormat="1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10" fontId="0" fillId="0" borderId="0" xfId="19" applyNumberFormat="1" applyAlignment="1">
      <alignment horizontal="center"/>
    </xf>
    <xf numFmtId="10" fontId="0" fillId="0" borderId="0" xfId="19" applyNumberFormat="1" applyFont="1" applyAlignment="1">
      <alignment horizontal="center"/>
    </xf>
    <xf numFmtId="9" fontId="0" fillId="0" borderId="0" xfId="19" applyAlignment="1">
      <alignment horizontal="center"/>
    </xf>
    <xf numFmtId="0" fontId="9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1" fillId="0" borderId="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  <xf numFmtId="10" fontId="1" fillId="0" borderId="37" xfId="19" applyNumberFormat="1" applyFont="1" applyBorder="1" applyAlignment="1">
      <alignment horizontal="center" vertical="top" wrapText="1"/>
    </xf>
    <xf numFmtId="10" fontId="1" fillId="2" borderId="16" xfId="19" applyNumberFormat="1" applyFont="1" applyFill="1" applyBorder="1" applyAlignment="1">
      <alignment horizontal="center" vertical="top" wrapText="1"/>
    </xf>
    <xf numFmtId="10" fontId="1" fillId="0" borderId="16" xfId="19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10" fontId="1" fillId="0" borderId="38" xfId="19" applyNumberFormat="1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left" vertical="top" wrapText="1"/>
    </xf>
    <xf numFmtId="10" fontId="1" fillId="0" borderId="34" xfId="19" applyNumberFormat="1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/>
    </xf>
    <xf numFmtId="10" fontId="1" fillId="2" borderId="42" xfId="0" applyNumberFormat="1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44" xfId="0" applyFont="1" applyFill="1" applyBorder="1" applyAlignment="1">
      <alignment vertical="top" wrapText="1"/>
    </xf>
    <xf numFmtId="10" fontId="1" fillId="2" borderId="0" xfId="0" applyNumberFormat="1" applyFont="1" applyFill="1" applyBorder="1" applyAlignment="1">
      <alignment horizontal="center" vertical="top" wrapText="1"/>
    </xf>
    <xf numFmtId="9" fontId="1" fillId="2" borderId="26" xfId="0" applyNumberFormat="1" applyFont="1" applyFill="1" applyBorder="1" applyAlignment="1">
      <alignment horizontal="center" vertical="top" wrapText="1"/>
    </xf>
    <xf numFmtId="0" fontId="10" fillId="2" borderId="45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vertical="top" wrapText="1"/>
    </xf>
    <xf numFmtId="0" fontId="10" fillId="2" borderId="41" xfId="0" applyFont="1" applyFill="1" applyBorder="1" applyAlignment="1">
      <alignment horizontal="center" vertical="top" wrapText="1"/>
    </xf>
    <xf numFmtId="177" fontId="10" fillId="2" borderId="41" xfId="0" applyNumberFormat="1" applyFont="1" applyFill="1" applyBorder="1" applyAlignment="1">
      <alignment horizontal="center" vertical="top" wrapText="1"/>
    </xf>
    <xf numFmtId="10" fontId="10" fillId="2" borderId="41" xfId="0" applyNumberFormat="1" applyFont="1" applyFill="1" applyBorder="1" applyAlignment="1">
      <alignment horizontal="center" vertical="top" wrapText="1"/>
    </xf>
    <xf numFmtId="0" fontId="5" fillId="2" borderId="4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0" fontId="1" fillId="0" borderId="47" xfId="19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48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1" fillId="2" borderId="49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50" xfId="0" applyFont="1" applyFill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2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51" xfId="0" applyNumberFormat="1" applyFont="1" applyBorder="1" applyAlignment="1">
      <alignment horizontal="center" vertical="top" wrapText="1"/>
    </xf>
    <xf numFmtId="2" fontId="5" fillId="0" borderId="48" xfId="0" applyNumberFormat="1" applyFont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  <xf numFmtId="0" fontId="6" fillId="0" borderId="53" xfId="0" applyFont="1" applyBorder="1" applyAlignment="1">
      <alignment vertical="top" wrapText="1"/>
    </xf>
    <xf numFmtId="0" fontId="6" fillId="0" borderId="5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49" fontId="6" fillId="0" borderId="41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horizontal="center" vertical="top" wrapText="1"/>
    </xf>
    <xf numFmtId="1" fontId="1" fillId="2" borderId="49" xfId="0" applyNumberFormat="1" applyFont="1" applyFill="1" applyBorder="1" applyAlignment="1">
      <alignment horizontal="center" vertical="top" wrapText="1"/>
    </xf>
    <xf numFmtId="1" fontId="1" fillId="2" borderId="42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10" fontId="5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0" fontId="1" fillId="2" borderId="47" xfId="0" applyNumberFormat="1" applyFont="1" applyFill="1" applyBorder="1" applyAlignment="1">
      <alignment horizontal="center" vertical="top" wrapText="1"/>
    </xf>
    <xf numFmtId="10" fontId="1" fillId="2" borderId="42" xfId="0" applyNumberFormat="1" applyFont="1" applyFill="1" applyBorder="1" applyAlignment="1">
      <alignment horizontal="center" vertical="top" wrapText="1"/>
    </xf>
    <xf numFmtId="0" fontId="8" fillId="0" borderId="55" xfId="0" applyFont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5" fillId="2" borderId="57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43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58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9" fontId="5" fillId="0" borderId="11" xfId="0" applyNumberFormat="1" applyFont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9" fontId="1" fillId="0" borderId="11" xfId="19" applyFont="1" applyFill="1" applyBorder="1" applyAlignment="1">
      <alignment horizontal="center" vertical="top" wrapText="1"/>
    </xf>
    <xf numFmtId="9" fontId="1" fillId="0" borderId="13" xfId="19" applyFont="1" applyFill="1" applyBorder="1" applyAlignment="1">
      <alignment horizontal="center" vertical="top" wrapText="1"/>
    </xf>
    <xf numFmtId="9" fontId="1" fillId="0" borderId="16" xfId="19" applyFont="1" applyFill="1" applyBorder="1" applyAlignment="1">
      <alignment horizontal="center" vertical="top" wrapText="1"/>
    </xf>
    <xf numFmtId="9" fontId="1" fillId="0" borderId="37" xfId="19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10" fontId="1" fillId="0" borderId="11" xfId="19" applyNumberFormat="1" applyFont="1" applyFill="1" applyBorder="1" applyAlignment="1">
      <alignment horizontal="center" vertical="top" wrapText="1"/>
    </xf>
    <xf numFmtId="9" fontId="1" fillId="0" borderId="16" xfId="19" applyFont="1" applyBorder="1" applyAlignment="1">
      <alignment horizontal="center" vertical="top" wrapText="1"/>
    </xf>
    <xf numFmtId="9" fontId="1" fillId="0" borderId="37" xfId="19" applyFont="1" applyBorder="1" applyAlignment="1">
      <alignment horizontal="center" vertical="top" wrapText="1"/>
    </xf>
    <xf numFmtId="9" fontId="1" fillId="3" borderId="16" xfId="19" applyFont="1" applyFill="1" applyBorder="1" applyAlignment="1">
      <alignment horizontal="center" vertical="top" wrapText="1"/>
    </xf>
    <xf numFmtId="9" fontId="1" fillId="3" borderId="37" xfId="19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104775</xdr:rowOff>
    </xdr:from>
    <xdr:to>
      <xdr:col>3</xdr:col>
      <xdr:colOff>1095375</xdr:colOff>
      <xdr:row>0</xdr:row>
      <xdr:rowOff>542925</xdr:rowOff>
    </xdr:to>
    <xdr:sp>
      <xdr:nvSpPr>
        <xdr:cNvPr id="1" name="Rectangle 2"/>
        <xdr:cNvSpPr>
          <a:spLocks/>
        </xdr:cNvSpPr>
      </xdr:nvSpPr>
      <xdr:spPr>
        <a:xfrm>
          <a:off x="1733550" y="104775"/>
          <a:ext cx="2943225" cy="4381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0</xdr:row>
      <xdr:rowOff>200025</xdr:rowOff>
    </xdr:from>
    <xdr:to>
      <xdr:col>3</xdr:col>
      <xdr:colOff>1095375</xdr:colOff>
      <xdr:row>0</xdr:row>
      <xdr:rowOff>438150</xdr:rowOff>
    </xdr:to>
    <xdr:sp>
      <xdr:nvSpPr>
        <xdr:cNvPr id="2" name="Rectangle 3"/>
        <xdr:cNvSpPr>
          <a:spLocks/>
        </xdr:cNvSpPr>
      </xdr:nvSpPr>
      <xdr:spPr>
        <a:xfrm>
          <a:off x="1733550" y="200025"/>
          <a:ext cx="29432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Duikplanning Basis Nitrox Duiker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19050</xdr:rowOff>
    </xdr:from>
    <xdr:to>
      <xdr:col>1</xdr:col>
      <xdr:colOff>9525</xdr:colOff>
      <xdr:row>0</xdr:row>
      <xdr:rowOff>704850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0</xdr:row>
      <xdr:rowOff>114300</xdr:rowOff>
    </xdr:from>
    <xdr:to>
      <xdr:col>3</xdr:col>
      <xdr:colOff>1085850</xdr:colOff>
      <xdr:row>0</xdr:row>
      <xdr:rowOff>542925</xdr:rowOff>
    </xdr:to>
    <xdr:sp>
      <xdr:nvSpPr>
        <xdr:cNvPr id="4" name="Rectangle 5"/>
        <xdr:cNvSpPr>
          <a:spLocks/>
        </xdr:cNvSpPr>
      </xdr:nvSpPr>
      <xdr:spPr>
        <a:xfrm>
          <a:off x="1733550" y="114300"/>
          <a:ext cx="2933700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0</xdr:row>
      <xdr:rowOff>200025</xdr:rowOff>
    </xdr:from>
    <xdr:to>
      <xdr:col>3</xdr:col>
      <xdr:colOff>1095375</xdr:colOff>
      <xdr:row>0</xdr:row>
      <xdr:rowOff>438150</xdr:rowOff>
    </xdr:to>
    <xdr:sp>
      <xdr:nvSpPr>
        <xdr:cNvPr id="5" name="Rectangle 6"/>
        <xdr:cNvSpPr>
          <a:spLocks/>
        </xdr:cNvSpPr>
      </xdr:nvSpPr>
      <xdr:spPr>
        <a:xfrm>
          <a:off x="1733550" y="200025"/>
          <a:ext cx="29432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Duikplanning Gevorderd Nitrox Duiker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ningsformulier%20Basis%20Nitrox%20Duiker%20v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Plan"/>
      <sheetName val="CZS"/>
      <sheetName val="Decotabel"/>
      <sheetName val="Tussentijd"/>
      <sheetName val="Berekening"/>
    </sheetNames>
    <sheetDataSet>
      <sheetData sheetId="4">
        <row r="19">
          <cell r="B19">
            <v>12</v>
          </cell>
          <cell r="D19">
            <v>213</v>
          </cell>
          <cell r="E19">
            <v>187</v>
          </cell>
          <cell r="F19">
            <v>161</v>
          </cell>
          <cell r="G19">
            <v>138</v>
          </cell>
          <cell r="H19">
            <v>116</v>
          </cell>
          <cell r="I19">
            <v>101</v>
          </cell>
          <cell r="J19">
            <v>87</v>
          </cell>
          <cell r="K19">
            <v>73</v>
          </cell>
          <cell r="L19">
            <v>61</v>
          </cell>
          <cell r="M19">
            <v>49</v>
          </cell>
          <cell r="N19">
            <v>37</v>
          </cell>
          <cell r="O19">
            <v>25</v>
          </cell>
          <cell r="P19">
            <v>17</v>
          </cell>
          <cell r="Q19">
            <v>7</v>
          </cell>
        </row>
        <row r="20">
          <cell r="B20">
            <v>15</v>
          </cell>
          <cell r="D20">
            <v>142</v>
          </cell>
          <cell r="E20">
            <v>124</v>
          </cell>
          <cell r="F20">
            <v>111</v>
          </cell>
          <cell r="G20">
            <v>99</v>
          </cell>
          <cell r="H20">
            <v>87</v>
          </cell>
          <cell r="I20">
            <v>76</v>
          </cell>
          <cell r="J20">
            <v>66</v>
          </cell>
          <cell r="K20">
            <v>56</v>
          </cell>
          <cell r="L20">
            <v>47</v>
          </cell>
          <cell r="M20">
            <v>38</v>
          </cell>
          <cell r="N20">
            <v>29</v>
          </cell>
          <cell r="O20">
            <v>21</v>
          </cell>
          <cell r="P20">
            <v>13</v>
          </cell>
          <cell r="Q20">
            <v>6</v>
          </cell>
        </row>
        <row r="21">
          <cell r="B21">
            <v>18</v>
          </cell>
          <cell r="D21">
            <v>107</v>
          </cell>
          <cell r="E21">
            <v>97</v>
          </cell>
          <cell r="F21">
            <v>88</v>
          </cell>
          <cell r="G21">
            <v>79</v>
          </cell>
          <cell r="H21">
            <v>70</v>
          </cell>
          <cell r="I21">
            <v>61</v>
          </cell>
          <cell r="J21">
            <v>52</v>
          </cell>
          <cell r="K21">
            <v>44</v>
          </cell>
          <cell r="L21">
            <v>36</v>
          </cell>
          <cell r="M21">
            <v>30</v>
          </cell>
          <cell r="N21">
            <v>24</v>
          </cell>
          <cell r="O21">
            <v>17</v>
          </cell>
          <cell r="P21">
            <v>11</v>
          </cell>
          <cell r="Q21">
            <v>5</v>
          </cell>
        </row>
        <row r="22">
          <cell r="B22">
            <v>21</v>
          </cell>
          <cell r="D22">
            <v>87</v>
          </cell>
          <cell r="E22">
            <v>80</v>
          </cell>
          <cell r="F22">
            <v>72</v>
          </cell>
          <cell r="G22">
            <v>64</v>
          </cell>
          <cell r="H22">
            <v>57</v>
          </cell>
          <cell r="I22">
            <v>50</v>
          </cell>
          <cell r="J22">
            <v>43</v>
          </cell>
          <cell r="K22">
            <v>37</v>
          </cell>
          <cell r="L22">
            <v>31</v>
          </cell>
          <cell r="M22">
            <v>26</v>
          </cell>
          <cell r="N22">
            <v>20</v>
          </cell>
          <cell r="O22">
            <v>15</v>
          </cell>
          <cell r="P22">
            <v>9</v>
          </cell>
          <cell r="Q22">
            <v>4</v>
          </cell>
        </row>
        <row r="23">
          <cell r="B23">
            <v>24</v>
          </cell>
          <cell r="D23">
            <v>73</v>
          </cell>
          <cell r="E23">
            <v>68</v>
          </cell>
          <cell r="F23">
            <v>61</v>
          </cell>
          <cell r="G23">
            <v>54</v>
          </cell>
          <cell r="H23">
            <v>48</v>
          </cell>
          <cell r="I23">
            <v>43</v>
          </cell>
          <cell r="J23">
            <v>38</v>
          </cell>
          <cell r="K23">
            <v>32</v>
          </cell>
          <cell r="L23">
            <v>28</v>
          </cell>
          <cell r="M23">
            <v>23</v>
          </cell>
          <cell r="N23">
            <v>18</v>
          </cell>
          <cell r="O23">
            <v>13</v>
          </cell>
          <cell r="P23">
            <v>8</v>
          </cell>
          <cell r="Q23">
            <v>4</v>
          </cell>
        </row>
        <row r="24">
          <cell r="B24">
            <v>27</v>
          </cell>
          <cell r="D24">
            <v>64</v>
          </cell>
          <cell r="E24">
            <v>58</v>
          </cell>
          <cell r="F24">
            <v>53</v>
          </cell>
          <cell r="G24">
            <v>47</v>
          </cell>
          <cell r="H24">
            <v>43</v>
          </cell>
          <cell r="I24">
            <v>38</v>
          </cell>
          <cell r="J24">
            <v>33</v>
          </cell>
          <cell r="K24">
            <v>29</v>
          </cell>
          <cell r="L24">
            <v>24</v>
          </cell>
          <cell r="M24">
            <v>20</v>
          </cell>
          <cell r="N24">
            <v>16</v>
          </cell>
          <cell r="O24">
            <v>11</v>
          </cell>
          <cell r="P24">
            <v>7</v>
          </cell>
          <cell r="Q24">
            <v>3</v>
          </cell>
        </row>
        <row r="25">
          <cell r="B25">
            <v>30</v>
          </cell>
          <cell r="D25">
            <v>57</v>
          </cell>
          <cell r="E25">
            <v>52</v>
          </cell>
          <cell r="F25">
            <v>48</v>
          </cell>
          <cell r="G25">
            <v>43</v>
          </cell>
          <cell r="H25">
            <v>38</v>
          </cell>
          <cell r="I25">
            <v>34</v>
          </cell>
          <cell r="J25">
            <v>30</v>
          </cell>
          <cell r="K25">
            <v>26</v>
          </cell>
          <cell r="L25">
            <v>22</v>
          </cell>
          <cell r="M25">
            <v>18</v>
          </cell>
          <cell r="N25">
            <v>14</v>
          </cell>
          <cell r="O25">
            <v>10</v>
          </cell>
          <cell r="P25">
            <v>7</v>
          </cell>
          <cell r="Q25">
            <v>3</v>
          </cell>
        </row>
        <row r="26">
          <cell r="B26">
            <v>33</v>
          </cell>
          <cell r="D26">
            <v>51</v>
          </cell>
          <cell r="E26">
            <v>47</v>
          </cell>
          <cell r="F26">
            <v>42</v>
          </cell>
          <cell r="G26">
            <v>38</v>
          </cell>
          <cell r="H26">
            <v>34</v>
          </cell>
          <cell r="I26">
            <v>31</v>
          </cell>
          <cell r="J26">
            <v>27</v>
          </cell>
          <cell r="K26">
            <v>24</v>
          </cell>
          <cell r="L26">
            <v>20</v>
          </cell>
          <cell r="M26">
            <v>16</v>
          </cell>
          <cell r="N26">
            <v>13</v>
          </cell>
          <cell r="O26">
            <v>10</v>
          </cell>
          <cell r="P26">
            <v>6</v>
          </cell>
          <cell r="Q26">
            <v>3</v>
          </cell>
        </row>
        <row r="27">
          <cell r="B27">
            <v>36</v>
          </cell>
          <cell r="D27">
            <v>46</v>
          </cell>
          <cell r="E27">
            <v>43</v>
          </cell>
          <cell r="F27">
            <v>39</v>
          </cell>
          <cell r="G27">
            <v>35</v>
          </cell>
          <cell r="H27">
            <v>32</v>
          </cell>
          <cell r="I27">
            <v>28</v>
          </cell>
          <cell r="J27">
            <v>25</v>
          </cell>
          <cell r="K27">
            <v>21</v>
          </cell>
          <cell r="L27">
            <v>18</v>
          </cell>
          <cell r="M27">
            <v>15</v>
          </cell>
          <cell r="N27">
            <v>12</v>
          </cell>
          <cell r="O27">
            <v>9</v>
          </cell>
          <cell r="P27">
            <v>6</v>
          </cell>
          <cell r="Q27">
            <v>3</v>
          </cell>
        </row>
        <row r="28">
          <cell r="B28">
            <v>39</v>
          </cell>
          <cell r="D28">
            <v>40</v>
          </cell>
          <cell r="E28">
            <v>38</v>
          </cell>
          <cell r="F28">
            <v>35</v>
          </cell>
          <cell r="G28">
            <v>31</v>
          </cell>
          <cell r="H28">
            <v>28</v>
          </cell>
          <cell r="I28">
            <v>25</v>
          </cell>
          <cell r="J28">
            <v>22</v>
          </cell>
          <cell r="K28">
            <v>19</v>
          </cell>
          <cell r="L28">
            <v>16</v>
          </cell>
          <cell r="M28">
            <v>14</v>
          </cell>
          <cell r="N28">
            <v>11</v>
          </cell>
          <cell r="O28">
            <v>8</v>
          </cell>
          <cell r="P28">
            <v>6</v>
          </cell>
          <cell r="Q28">
            <v>3</v>
          </cell>
        </row>
        <row r="29">
          <cell r="B29">
            <v>42</v>
          </cell>
          <cell r="D29">
            <v>38</v>
          </cell>
          <cell r="E29">
            <v>35</v>
          </cell>
          <cell r="F29">
            <v>32</v>
          </cell>
          <cell r="G29">
            <v>29</v>
          </cell>
          <cell r="H29">
            <v>26</v>
          </cell>
          <cell r="I29">
            <v>23</v>
          </cell>
          <cell r="J29">
            <v>20</v>
          </cell>
          <cell r="K29">
            <v>18</v>
          </cell>
          <cell r="L29">
            <v>15</v>
          </cell>
          <cell r="M29">
            <v>13</v>
          </cell>
          <cell r="N29">
            <v>10</v>
          </cell>
          <cell r="O29">
            <v>7</v>
          </cell>
          <cell r="P29">
            <v>5</v>
          </cell>
          <cell r="Q29">
            <v>2</v>
          </cell>
        </row>
        <row r="30">
          <cell r="B30">
            <v>45</v>
          </cell>
          <cell r="D30">
            <v>35</v>
          </cell>
          <cell r="E30">
            <v>32</v>
          </cell>
          <cell r="F30">
            <v>30</v>
          </cell>
          <cell r="G30">
            <v>27</v>
          </cell>
          <cell r="H30">
            <v>24</v>
          </cell>
          <cell r="I30">
            <v>22</v>
          </cell>
          <cell r="J30">
            <v>19</v>
          </cell>
          <cell r="K30">
            <v>17</v>
          </cell>
          <cell r="L30">
            <v>14</v>
          </cell>
          <cell r="M30">
            <v>12</v>
          </cell>
          <cell r="N30">
            <v>9</v>
          </cell>
          <cell r="O30">
            <v>7</v>
          </cell>
          <cell r="P30">
            <v>5</v>
          </cell>
          <cell r="Q30">
            <v>2</v>
          </cell>
        </row>
        <row r="31">
          <cell r="B31">
            <v>48</v>
          </cell>
          <cell r="D31">
            <v>33</v>
          </cell>
          <cell r="E31">
            <v>31</v>
          </cell>
          <cell r="F31">
            <v>28</v>
          </cell>
          <cell r="G31">
            <v>26</v>
          </cell>
          <cell r="H31">
            <v>23</v>
          </cell>
          <cell r="I31">
            <v>20</v>
          </cell>
          <cell r="J31">
            <v>18</v>
          </cell>
          <cell r="K31">
            <v>16</v>
          </cell>
          <cell r="L31">
            <v>13</v>
          </cell>
          <cell r="M31">
            <v>11</v>
          </cell>
          <cell r="N31">
            <v>9</v>
          </cell>
          <cell r="O31">
            <v>6</v>
          </cell>
          <cell r="P31">
            <v>4</v>
          </cell>
          <cell r="Q31">
            <v>2</v>
          </cell>
        </row>
        <row r="32">
          <cell r="B32">
            <v>51</v>
          </cell>
          <cell r="D32">
            <v>31</v>
          </cell>
          <cell r="E32">
            <v>29</v>
          </cell>
          <cell r="F32">
            <v>26</v>
          </cell>
          <cell r="G32">
            <v>24</v>
          </cell>
          <cell r="H32">
            <v>22</v>
          </cell>
          <cell r="I32">
            <v>19</v>
          </cell>
          <cell r="J32">
            <v>17</v>
          </cell>
          <cell r="K32">
            <v>15</v>
          </cell>
          <cell r="L32">
            <v>12</v>
          </cell>
          <cell r="M32">
            <v>10</v>
          </cell>
          <cell r="N32">
            <v>8</v>
          </cell>
          <cell r="O32">
            <v>6</v>
          </cell>
          <cell r="P32">
            <v>4</v>
          </cell>
          <cell r="Q32">
            <v>2</v>
          </cell>
        </row>
        <row r="33">
          <cell r="B33">
            <v>54</v>
          </cell>
          <cell r="D33">
            <v>29</v>
          </cell>
          <cell r="E33">
            <v>27</v>
          </cell>
          <cell r="F33">
            <v>25</v>
          </cell>
          <cell r="G33">
            <v>22</v>
          </cell>
          <cell r="H33">
            <v>20</v>
          </cell>
          <cell r="I33">
            <v>18</v>
          </cell>
          <cell r="J33">
            <v>16</v>
          </cell>
          <cell r="K33">
            <v>14</v>
          </cell>
          <cell r="L33">
            <v>11</v>
          </cell>
          <cell r="M33">
            <v>10</v>
          </cell>
          <cell r="N33">
            <v>8</v>
          </cell>
          <cell r="O33">
            <v>6</v>
          </cell>
          <cell r="P33">
            <v>4</v>
          </cell>
          <cell r="Q33">
            <v>2</v>
          </cell>
        </row>
        <row r="34">
          <cell r="B34">
            <v>57</v>
          </cell>
          <cell r="D34">
            <v>28</v>
          </cell>
          <cell r="E34">
            <v>26</v>
          </cell>
          <cell r="F34">
            <v>24</v>
          </cell>
          <cell r="G34">
            <v>21</v>
          </cell>
          <cell r="H34">
            <v>19</v>
          </cell>
          <cell r="I34">
            <v>17</v>
          </cell>
          <cell r="J34">
            <v>15</v>
          </cell>
          <cell r="K34">
            <v>13</v>
          </cell>
          <cell r="L34">
            <v>10</v>
          </cell>
          <cell r="M34">
            <v>10</v>
          </cell>
          <cell r="N34">
            <v>8</v>
          </cell>
          <cell r="O34">
            <v>6</v>
          </cell>
          <cell r="P34">
            <v>4</v>
          </cell>
          <cell r="Q34">
            <v>2</v>
          </cell>
        </row>
        <row r="35">
          <cell r="B35">
            <v>60</v>
          </cell>
          <cell r="D35" t="str">
            <v>Gevaar</v>
          </cell>
          <cell r="E35" t="str">
            <v>Gevaar</v>
          </cell>
          <cell r="F35" t="str">
            <v>Gevaar</v>
          </cell>
          <cell r="G35" t="str">
            <v>Gevaar</v>
          </cell>
          <cell r="H35" t="str">
            <v>Gevaar</v>
          </cell>
          <cell r="I35" t="str">
            <v>Gevaar</v>
          </cell>
          <cell r="J35" t="str">
            <v>Gevaar</v>
          </cell>
          <cell r="K35" t="str">
            <v>Gevaar</v>
          </cell>
          <cell r="L35" t="str">
            <v>Gevaar</v>
          </cell>
          <cell r="M35" t="str">
            <v>Gevaar</v>
          </cell>
          <cell r="N35" t="str">
            <v>Gevaar</v>
          </cell>
          <cell r="O35" t="str">
            <v>Gevaar</v>
          </cell>
          <cell r="P35" t="str">
            <v>Gevaar</v>
          </cell>
          <cell r="Q35" t="str">
            <v>Gevaar</v>
          </cell>
        </row>
        <row r="37">
          <cell r="D37">
            <v>16</v>
          </cell>
          <cell r="E37">
            <v>15</v>
          </cell>
          <cell r="F37">
            <v>14</v>
          </cell>
          <cell r="G37">
            <v>13</v>
          </cell>
          <cell r="H37">
            <v>12</v>
          </cell>
          <cell r="I37">
            <v>11</v>
          </cell>
          <cell r="J37">
            <v>10</v>
          </cell>
          <cell r="K37">
            <v>9</v>
          </cell>
          <cell r="L37">
            <v>8</v>
          </cell>
          <cell r="M37">
            <v>7</v>
          </cell>
          <cell r="N37">
            <v>6</v>
          </cell>
          <cell r="O37">
            <v>5</v>
          </cell>
          <cell r="P37">
            <v>4</v>
          </cell>
          <cell r="Q37">
            <v>3</v>
          </cell>
        </row>
      </sheetData>
      <sheetData sheetId="5">
        <row r="12">
          <cell r="C12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workbookViewId="0" topLeftCell="A19">
      <selection activeCell="D32" sqref="D32"/>
    </sheetView>
  </sheetViews>
  <sheetFormatPr defaultColWidth="9.140625" defaultRowHeight="12.75"/>
  <cols>
    <col min="1" max="1" width="11.28125" style="21" customWidth="1"/>
    <col min="2" max="2" width="26.8515625" style="0" bestFit="1" customWidth="1"/>
    <col min="3" max="3" width="15.57421875" style="0" bestFit="1" customWidth="1"/>
    <col min="4" max="4" width="22.00390625" style="21" bestFit="1" customWidth="1"/>
    <col min="5" max="5" width="18.7109375" style="21" customWidth="1"/>
    <col min="6" max="6" width="10.00390625" style="48" customWidth="1"/>
    <col min="7" max="7" width="4.00390625" style="0" customWidth="1"/>
    <col min="8" max="8" width="4.57421875" style="0" customWidth="1"/>
  </cols>
  <sheetData>
    <row r="1" ht="63.75" customHeight="1" thickBot="1"/>
    <row r="2" spans="1:9" ht="18.75" customHeight="1">
      <c r="A2" s="75" t="s">
        <v>54</v>
      </c>
      <c r="B2" s="187" t="s">
        <v>55</v>
      </c>
      <c r="C2" s="188"/>
      <c r="D2" s="76" t="s">
        <v>56</v>
      </c>
      <c r="E2" s="129" t="s">
        <v>53</v>
      </c>
      <c r="F2" s="159" t="s">
        <v>140</v>
      </c>
      <c r="G2" s="160"/>
      <c r="H2" s="160"/>
      <c r="I2" s="160"/>
    </row>
    <row r="3" spans="1:9" ht="18.75" customHeight="1">
      <c r="A3" s="74" t="s">
        <v>58</v>
      </c>
      <c r="B3" s="189" t="s">
        <v>133</v>
      </c>
      <c r="C3" s="190"/>
      <c r="D3" s="78" t="s">
        <v>134</v>
      </c>
      <c r="E3" s="77" t="s">
        <v>57</v>
      </c>
      <c r="F3">
        <v>14</v>
      </c>
      <c r="G3" t="s">
        <v>138</v>
      </c>
      <c r="H3">
        <v>15</v>
      </c>
      <c r="I3" t="s">
        <v>139</v>
      </c>
    </row>
    <row r="4" spans="1:9" ht="18.75" customHeight="1">
      <c r="A4" s="74" t="s">
        <v>61</v>
      </c>
      <c r="B4" s="189"/>
      <c r="C4" s="190"/>
      <c r="D4" s="78" t="s">
        <v>59</v>
      </c>
      <c r="E4" s="140" t="s">
        <v>60</v>
      </c>
      <c r="F4" s="161" t="s">
        <v>135</v>
      </c>
      <c r="G4" s="161"/>
      <c r="H4" s="161"/>
      <c r="I4" s="161"/>
    </row>
    <row r="5" spans="1:9" ht="18.75" customHeight="1" thickBot="1">
      <c r="A5" s="79" t="s">
        <v>62</v>
      </c>
      <c r="B5" s="191"/>
      <c r="C5" s="192"/>
      <c r="D5" s="80" t="s">
        <v>59</v>
      </c>
      <c r="E5" s="139" t="s">
        <v>131</v>
      </c>
      <c r="F5" s="161" t="s">
        <v>136</v>
      </c>
      <c r="G5" s="161"/>
      <c r="H5" s="161"/>
      <c r="I5" s="161"/>
    </row>
    <row r="6" spans="1:9" ht="18.75" customHeight="1">
      <c r="A6" s="56"/>
      <c r="B6" s="56"/>
      <c r="C6" s="56"/>
      <c r="D6" s="56"/>
      <c r="E6" s="127"/>
      <c r="F6" s="128"/>
      <c r="G6" s="128"/>
      <c r="H6" s="128"/>
      <c r="I6" s="128"/>
    </row>
    <row r="7" spans="1:9" ht="18.75" customHeight="1" thickBot="1">
      <c r="A7" s="158" t="s">
        <v>141</v>
      </c>
      <c r="B7" s="158"/>
      <c r="C7" s="158"/>
      <c r="D7" s="158"/>
      <c r="E7" s="158"/>
      <c r="F7" s="128"/>
      <c r="G7" s="128"/>
      <c r="H7" s="128"/>
      <c r="I7" s="128"/>
    </row>
    <row r="8" spans="1:9" ht="18.75" customHeight="1" thickTop="1">
      <c r="A8" s="162"/>
      <c r="B8" s="57"/>
      <c r="C8" s="164" t="s">
        <v>102</v>
      </c>
      <c r="D8" s="165"/>
      <c r="E8" s="147">
        <v>30</v>
      </c>
      <c r="F8" s="150" t="s">
        <v>66</v>
      </c>
      <c r="G8" s="128"/>
      <c r="H8" s="128"/>
      <c r="I8" s="128"/>
    </row>
    <row r="9" spans="1:9" ht="18.75" customHeight="1">
      <c r="A9" s="163"/>
      <c r="B9" s="43"/>
      <c r="C9" s="156" t="s">
        <v>29</v>
      </c>
      <c r="D9" s="157"/>
      <c r="E9" s="148" t="s">
        <v>129</v>
      </c>
      <c r="F9" s="151"/>
      <c r="G9" s="128"/>
      <c r="H9" s="128"/>
      <c r="I9" s="128"/>
    </row>
    <row r="10" spans="1:9" ht="18.75" customHeight="1">
      <c r="A10" s="163"/>
      <c r="B10" s="44"/>
      <c r="C10" s="156" t="s">
        <v>104</v>
      </c>
      <c r="D10" s="157"/>
      <c r="E10" s="148">
        <v>10</v>
      </c>
      <c r="F10" s="151" t="s">
        <v>138</v>
      </c>
      <c r="G10" s="128">
        <v>20</v>
      </c>
      <c r="H10" s="128" t="s">
        <v>139</v>
      </c>
      <c r="I10" s="128"/>
    </row>
    <row r="11" spans="1:9" ht="18.75" customHeight="1">
      <c r="A11" s="49"/>
      <c r="B11" s="45"/>
      <c r="C11" s="156" t="s">
        <v>105</v>
      </c>
      <c r="D11" s="157"/>
      <c r="E11" s="148">
        <v>32.5</v>
      </c>
      <c r="F11" s="144" t="s">
        <v>142</v>
      </c>
      <c r="G11" s="128"/>
      <c r="H11" s="128"/>
      <c r="I11" s="128"/>
    </row>
    <row r="12" spans="1:6" ht="23.25" customHeight="1" thickBot="1">
      <c r="A12" s="50"/>
      <c r="B12" s="88"/>
      <c r="C12" s="146"/>
      <c r="D12" s="38"/>
      <c r="E12" s="149"/>
      <c r="F12" s="144"/>
    </row>
    <row r="13" spans="1:6" ht="23.25" customHeight="1">
      <c r="A13" s="56"/>
      <c r="B13" s="141"/>
      <c r="C13" s="141"/>
      <c r="D13" s="56"/>
      <c r="E13" s="145"/>
      <c r="F13" s="144"/>
    </row>
    <row r="14" spans="1:6" ht="24" customHeight="1" thickBot="1">
      <c r="A14" s="142" t="s">
        <v>1</v>
      </c>
      <c r="B14" s="143" t="s">
        <v>2</v>
      </c>
      <c r="C14" s="143" t="s">
        <v>3</v>
      </c>
      <c r="D14" s="143" t="s">
        <v>4</v>
      </c>
      <c r="E14" s="195" t="s">
        <v>5</v>
      </c>
      <c r="F14" s="196"/>
    </row>
    <row r="15" spans="1:6" ht="16.5" thickTop="1">
      <c r="A15" s="162">
        <v>1</v>
      </c>
      <c r="B15" s="42" t="s">
        <v>6</v>
      </c>
      <c r="C15" s="131" t="s">
        <v>7</v>
      </c>
      <c r="D15" s="61" t="s">
        <v>92</v>
      </c>
      <c r="E15" s="89">
        <v>0.367</v>
      </c>
      <c r="F15" s="90"/>
    </row>
    <row r="16" spans="1:6" ht="15" customHeight="1">
      <c r="A16" s="163"/>
      <c r="B16" s="193" t="s">
        <v>63</v>
      </c>
      <c r="C16" s="132"/>
      <c r="D16" s="56" t="s">
        <v>52</v>
      </c>
      <c r="E16" s="91"/>
      <c r="F16" s="94"/>
    </row>
    <row r="17" spans="1:6" ht="15.75">
      <c r="A17" s="163"/>
      <c r="B17" s="193"/>
      <c r="C17" s="132"/>
      <c r="D17" s="62" t="s">
        <v>51</v>
      </c>
      <c r="E17" s="91"/>
      <c r="F17" s="94"/>
    </row>
    <row r="18" spans="1:6" ht="15.75">
      <c r="A18" s="163"/>
      <c r="B18" s="44"/>
      <c r="C18" s="132"/>
      <c r="D18" s="62" t="s">
        <v>50</v>
      </c>
      <c r="E18" s="91">
        <v>0.568</v>
      </c>
      <c r="F18" s="94"/>
    </row>
    <row r="19" spans="1:6" ht="0.75" customHeight="1" thickBot="1">
      <c r="A19" s="130"/>
      <c r="B19" s="9"/>
      <c r="C19" s="133"/>
      <c r="D19" s="63"/>
      <c r="E19" s="81"/>
      <c r="F19" s="46"/>
    </row>
    <row r="20" spans="1:6" ht="13.5" thickTop="1">
      <c r="A20" s="134" t="s">
        <v>8</v>
      </c>
      <c r="B20" s="43" t="s">
        <v>9</v>
      </c>
      <c r="C20" s="43" t="s">
        <v>10</v>
      </c>
      <c r="D20" s="135">
        <f>Berekening!D4</f>
        <v>30.871934604904638</v>
      </c>
      <c r="E20" s="137">
        <f>Berekening!E4</f>
        <v>30</v>
      </c>
      <c r="F20" s="179" t="s">
        <v>66</v>
      </c>
    </row>
    <row r="21" spans="1:6" ht="15" thickBot="1">
      <c r="A21" s="130"/>
      <c r="B21" s="39" t="s">
        <v>64</v>
      </c>
      <c r="C21" s="39" t="s">
        <v>65</v>
      </c>
      <c r="D21" s="136"/>
      <c r="E21" s="138"/>
      <c r="F21" s="180"/>
    </row>
    <row r="22" spans="1:6" ht="17.25" customHeight="1" thickTop="1">
      <c r="A22" s="134" t="s">
        <v>12</v>
      </c>
      <c r="B22" s="43" t="s">
        <v>13</v>
      </c>
      <c r="C22" s="43" t="s">
        <v>10</v>
      </c>
      <c r="D22" s="135">
        <f>Berekening!D5</f>
        <v>28.147138964577657</v>
      </c>
      <c r="E22" s="137">
        <f>Berekening!E5</f>
        <v>28</v>
      </c>
      <c r="F22" s="179" t="s">
        <v>66</v>
      </c>
    </row>
    <row r="23" spans="1:6" ht="18.75" customHeight="1" thickBot="1">
      <c r="A23" s="130"/>
      <c r="B23" s="39" t="s">
        <v>67</v>
      </c>
      <c r="C23" s="39" t="s">
        <v>65</v>
      </c>
      <c r="D23" s="136"/>
      <c r="E23" s="138"/>
      <c r="F23" s="180"/>
    </row>
    <row r="24" spans="1:6" ht="17.25" thickBot="1" thickTop="1">
      <c r="A24" s="50">
        <v>3</v>
      </c>
      <c r="B24" s="39" t="s">
        <v>14</v>
      </c>
      <c r="C24" s="39" t="s">
        <v>15</v>
      </c>
      <c r="D24" s="63" t="str">
        <f>IF(E24&gt;E20,"verboden!",IF(E24&lt;E22,"OK","zonder inspanning"))</f>
        <v>zonder inspanning</v>
      </c>
      <c r="E24" s="83">
        <v>28</v>
      </c>
      <c r="F24" s="72" t="s">
        <v>66</v>
      </c>
    </row>
    <row r="25" spans="1:6" ht="13.5" thickTop="1">
      <c r="A25" s="134">
        <v>4</v>
      </c>
      <c r="B25" s="119" t="s">
        <v>0</v>
      </c>
      <c r="C25" s="43" t="s">
        <v>16</v>
      </c>
      <c r="D25" s="120">
        <f>Berekening!D7</f>
        <v>20.448101265822785</v>
      </c>
      <c r="E25" s="123">
        <f>Berekening!E7</f>
        <v>21</v>
      </c>
      <c r="F25" s="179" t="s">
        <v>66</v>
      </c>
    </row>
    <row r="26" spans="1:6" ht="12.75">
      <c r="A26" s="163"/>
      <c r="B26" s="132"/>
      <c r="C26" s="43" t="s">
        <v>17</v>
      </c>
      <c r="D26" s="121"/>
      <c r="E26" s="124"/>
      <c r="F26" s="181"/>
    </row>
    <row r="27" spans="1:6" ht="15" thickBot="1">
      <c r="A27" s="130"/>
      <c r="B27" s="133"/>
      <c r="C27" s="39" t="s">
        <v>65</v>
      </c>
      <c r="D27" s="122"/>
      <c r="E27" s="125"/>
      <c r="F27" s="180"/>
    </row>
    <row r="28" spans="1:6" ht="13.5" thickTop="1">
      <c r="A28" s="134">
        <v>5</v>
      </c>
      <c r="B28" s="119" t="s">
        <v>24</v>
      </c>
      <c r="C28" s="43" t="s">
        <v>15</v>
      </c>
      <c r="D28" s="126"/>
      <c r="E28" s="92">
        <v>30</v>
      </c>
      <c r="F28" s="179" t="s">
        <v>21</v>
      </c>
    </row>
    <row r="29" spans="1:6" ht="13.5" thickBot="1">
      <c r="A29" s="130"/>
      <c r="B29" s="133"/>
      <c r="C29" s="39" t="s">
        <v>25</v>
      </c>
      <c r="D29" s="118"/>
      <c r="E29" s="93"/>
      <c r="F29" s="180"/>
    </row>
    <row r="30" spans="1:6" ht="13.5" thickTop="1">
      <c r="A30" s="134" t="s">
        <v>68</v>
      </c>
      <c r="B30" s="119" t="s">
        <v>19</v>
      </c>
      <c r="C30" s="119" t="s">
        <v>20</v>
      </c>
      <c r="D30" s="92">
        <f>Berekening!G10</f>
        <v>235</v>
      </c>
      <c r="E30" s="179" t="s">
        <v>21</v>
      </c>
      <c r="F30" s="168" t="str">
        <f>IF(D30="",0,IF((F3-D30)*1440&lt;10,"geen nieuwe duik",IF((F3-D30)*1440&gt;719,"geen succesieve duik",(F3-D30)*1440)))</f>
        <v>geen nieuwe duik</v>
      </c>
    </row>
    <row r="31" spans="1:6" ht="13.5" thickBot="1">
      <c r="A31" s="130"/>
      <c r="B31" s="133"/>
      <c r="C31" s="133"/>
      <c r="D31" s="93"/>
      <c r="E31" s="182"/>
      <c r="F31" s="169"/>
    </row>
    <row r="32" spans="1:6" ht="16.5" thickBot="1">
      <c r="A32" s="50" t="s">
        <v>69</v>
      </c>
      <c r="B32" s="39" t="s">
        <v>23</v>
      </c>
      <c r="C32" s="39" t="s">
        <v>15</v>
      </c>
      <c r="D32" s="38"/>
      <c r="E32" s="110">
        <v>50</v>
      </c>
      <c r="F32" s="59" t="s">
        <v>21</v>
      </c>
    </row>
    <row r="33" spans="1:6" ht="17.25" thickBot="1" thickTop="1">
      <c r="A33" s="50" t="s">
        <v>26</v>
      </c>
      <c r="B33" s="39" t="s">
        <v>93</v>
      </c>
      <c r="C33" s="194" t="s">
        <v>27</v>
      </c>
      <c r="D33" s="63"/>
      <c r="E33" s="82">
        <f>Berekening!G15</f>
        <v>0</v>
      </c>
      <c r="F33" s="60" t="s">
        <v>94</v>
      </c>
    </row>
    <row r="34" spans="1:6" ht="17.25" thickBot="1" thickTop="1">
      <c r="A34" s="50" t="s">
        <v>28</v>
      </c>
      <c r="B34" s="39" t="s">
        <v>70</v>
      </c>
      <c r="C34" s="193"/>
      <c r="D34" s="63"/>
      <c r="E34" s="82">
        <f>Berekening!I15</f>
        <v>0</v>
      </c>
      <c r="F34" s="60" t="s">
        <v>71</v>
      </c>
    </row>
    <row r="35" spans="1:6" ht="16.5" thickBot="1">
      <c r="A35" s="50" t="s">
        <v>74</v>
      </c>
      <c r="B35" s="39" t="s">
        <v>72</v>
      </c>
      <c r="C35" s="193"/>
      <c r="D35" s="63"/>
      <c r="E35" s="84">
        <f>Berekening!K15</f>
        <v>18</v>
      </c>
      <c r="F35" s="47" t="s">
        <v>73</v>
      </c>
    </row>
    <row r="36" spans="1:6" ht="16.5" thickBot="1">
      <c r="A36" s="51" t="s">
        <v>95</v>
      </c>
      <c r="B36" s="41" t="s">
        <v>29</v>
      </c>
      <c r="C36" s="197"/>
      <c r="D36" s="40"/>
      <c r="E36" s="96" t="str">
        <f>Berekening!E16</f>
        <v>M</v>
      </c>
      <c r="F36" s="97"/>
    </row>
    <row r="37" spans="1:6" ht="15" thickTop="1">
      <c r="A37" s="162">
        <v>8</v>
      </c>
      <c r="B37" s="43" t="s">
        <v>75</v>
      </c>
      <c r="C37" s="43" t="s">
        <v>31</v>
      </c>
      <c r="D37" s="170">
        <f>Berekening!D17</f>
        <v>1.3946</v>
      </c>
      <c r="E37" s="171">
        <f>Berekening!E17</f>
        <v>1.4000000000000001</v>
      </c>
      <c r="F37" s="183" t="s">
        <v>78</v>
      </c>
    </row>
    <row r="38" spans="1:6" ht="15" thickBot="1">
      <c r="A38" s="130"/>
      <c r="B38" s="39" t="s">
        <v>76</v>
      </c>
      <c r="C38" s="39" t="s">
        <v>77</v>
      </c>
      <c r="D38" s="122"/>
      <c r="E38" s="167"/>
      <c r="F38" s="182"/>
    </row>
    <row r="39" spans="1:6" ht="14.25">
      <c r="A39" s="134" t="s">
        <v>79</v>
      </c>
      <c r="B39" s="43" t="s">
        <v>96</v>
      </c>
      <c r="C39" s="43" t="s">
        <v>31</v>
      </c>
      <c r="D39" s="54">
        <f>Berekening!F18</f>
        <v>0</v>
      </c>
      <c r="E39" s="166">
        <f>Berekening!G18</f>
        <v>0</v>
      </c>
      <c r="F39" s="184" t="s">
        <v>78</v>
      </c>
    </row>
    <row r="40" spans="1:6" ht="15.75" customHeight="1" thickBot="1">
      <c r="A40" s="130"/>
      <c r="B40" s="39" t="s">
        <v>97</v>
      </c>
      <c r="C40" s="193" t="s">
        <v>82</v>
      </c>
      <c r="D40" s="55" t="str">
        <f>IF(D39&gt;1.5,"verboden!","OK")</f>
        <v>OK</v>
      </c>
      <c r="E40" s="167"/>
      <c r="F40" s="182"/>
    </row>
    <row r="41" spans="1:6" ht="14.25">
      <c r="A41" s="134" t="s">
        <v>83</v>
      </c>
      <c r="B41" s="43" t="s">
        <v>80</v>
      </c>
      <c r="C41" s="193"/>
      <c r="D41" s="54">
        <f>Berekening!H18</f>
        <v>0</v>
      </c>
      <c r="E41" s="166">
        <f>Berekening!I18</f>
        <v>0</v>
      </c>
      <c r="F41" s="184" t="s">
        <v>78</v>
      </c>
    </row>
    <row r="42" spans="1:6" ht="15" thickBot="1">
      <c r="A42" s="130"/>
      <c r="B42" s="39" t="s">
        <v>81</v>
      </c>
      <c r="C42" s="43"/>
      <c r="D42" s="55" t="str">
        <f>IF(D41&gt;1.5,"verboden!","OK")</f>
        <v>OK</v>
      </c>
      <c r="E42" s="167"/>
      <c r="F42" s="182"/>
    </row>
    <row r="43" spans="1:6" ht="14.25">
      <c r="A43" s="134" t="s">
        <v>98</v>
      </c>
      <c r="B43" s="43" t="s">
        <v>84</v>
      </c>
      <c r="C43" s="44"/>
      <c r="D43" s="54">
        <f>Berekening!J18</f>
        <v>0.7384</v>
      </c>
      <c r="E43" s="166">
        <f>Berekening!K18</f>
        <v>0.7999999999999999</v>
      </c>
      <c r="F43" s="184" t="s">
        <v>78</v>
      </c>
    </row>
    <row r="44" spans="1:6" ht="15" thickBot="1">
      <c r="A44" s="130"/>
      <c r="B44" s="39" t="s">
        <v>85</v>
      </c>
      <c r="C44" s="9"/>
      <c r="D44" s="55" t="str">
        <f>IF(D43&gt;1.5,"verboden!","OK")</f>
        <v>OK</v>
      </c>
      <c r="E44" s="167"/>
      <c r="F44" s="182"/>
    </row>
    <row r="45" spans="1:6" ht="12.75">
      <c r="A45" s="134">
        <v>10</v>
      </c>
      <c r="B45" s="43" t="s">
        <v>32</v>
      </c>
      <c r="C45" s="119" t="s">
        <v>34</v>
      </c>
      <c r="D45" s="172">
        <f>Berekening!D19</f>
        <v>0.0067</v>
      </c>
      <c r="E45" s="174">
        <f>Berekening!E19</f>
        <v>0.201</v>
      </c>
      <c r="F45" s="184"/>
    </row>
    <row r="46" spans="1:6" ht="13.5" thickBot="1">
      <c r="A46" s="130"/>
      <c r="B46" s="39" t="s">
        <v>33</v>
      </c>
      <c r="C46" s="133"/>
      <c r="D46" s="173"/>
      <c r="E46" s="175"/>
      <c r="F46" s="182"/>
    </row>
    <row r="47" spans="1:6" ht="12.75">
      <c r="A47" s="134" t="s">
        <v>86</v>
      </c>
      <c r="B47" s="43" t="s">
        <v>99</v>
      </c>
      <c r="C47" s="194" t="s">
        <v>36</v>
      </c>
      <c r="D47" s="198">
        <f>Berekening!F21</f>
        <v>0</v>
      </c>
      <c r="E47" s="174">
        <f>Berekening!G21</f>
        <v>0</v>
      </c>
      <c r="F47" s="184"/>
    </row>
    <row r="48" spans="1:6" ht="13.5" thickBot="1">
      <c r="A48" s="130"/>
      <c r="B48" s="39" t="s">
        <v>100</v>
      </c>
      <c r="C48" s="193"/>
      <c r="D48" s="173"/>
      <c r="E48" s="175"/>
      <c r="F48" s="182"/>
    </row>
    <row r="49" spans="1:6" ht="12.75">
      <c r="A49" s="134" t="s">
        <v>88</v>
      </c>
      <c r="B49" s="43" t="s">
        <v>87</v>
      </c>
      <c r="C49" s="193"/>
      <c r="D49" s="198">
        <f>Berekening!H21</f>
        <v>0</v>
      </c>
      <c r="E49" s="174">
        <f>Berekening!I21</f>
        <v>0</v>
      </c>
      <c r="F49" s="184"/>
    </row>
    <row r="50" spans="1:6" ht="13.5" thickBot="1">
      <c r="A50" s="130"/>
      <c r="B50" s="39" t="s">
        <v>35</v>
      </c>
      <c r="C50" s="193"/>
      <c r="D50" s="173"/>
      <c r="E50" s="175"/>
      <c r="F50" s="182"/>
    </row>
    <row r="51" spans="1:6" ht="12.75">
      <c r="A51" s="134" t="s">
        <v>101</v>
      </c>
      <c r="B51" s="43" t="s">
        <v>89</v>
      </c>
      <c r="C51" s="193"/>
      <c r="D51" s="198">
        <f>Berekening!J21</f>
        <v>0.0018</v>
      </c>
      <c r="E51" s="174">
        <f>Berekening!K21</f>
        <v>0.0324</v>
      </c>
      <c r="F51" s="184"/>
    </row>
    <row r="52" spans="1:6" ht="13.5" thickBot="1">
      <c r="A52" s="130"/>
      <c r="B52" s="39" t="s">
        <v>90</v>
      </c>
      <c r="C52" s="173"/>
      <c r="D52" s="173"/>
      <c r="E52" s="175"/>
      <c r="F52" s="182"/>
    </row>
    <row r="53" spans="1:6" ht="15.75">
      <c r="A53" s="134">
        <v>12</v>
      </c>
      <c r="B53" s="43" t="s">
        <v>37</v>
      </c>
      <c r="C53" s="119" t="s">
        <v>39</v>
      </c>
      <c r="D53" s="52" t="s">
        <v>49</v>
      </c>
      <c r="E53" s="111">
        <v>0.5656</v>
      </c>
      <c r="F53" s="99"/>
    </row>
    <row r="54" spans="1:6" ht="15.75">
      <c r="A54" s="163"/>
      <c r="B54" s="43" t="s">
        <v>38</v>
      </c>
      <c r="C54" s="185"/>
      <c r="D54" s="52" t="s">
        <v>40</v>
      </c>
      <c r="E54" s="95">
        <f>Berekening!E24</f>
        <v>6</v>
      </c>
      <c r="F54" s="100"/>
    </row>
    <row r="55" spans="1:6" ht="16.5" thickBot="1">
      <c r="A55" s="130"/>
      <c r="B55" s="9"/>
      <c r="C55" s="186"/>
      <c r="D55" s="38" t="s">
        <v>41</v>
      </c>
      <c r="E55" s="98">
        <f>Berekening!E25</f>
        <v>0.0088375</v>
      </c>
      <c r="F55" s="101"/>
    </row>
    <row r="56" spans="1:6" ht="15.75">
      <c r="A56" s="49"/>
      <c r="B56" s="43"/>
      <c r="C56" s="43" t="s">
        <v>42</v>
      </c>
      <c r="D56" s="52" t="s">
        <v>43</v>
      </c>
      <c r="E56" s="102">
        <f>Berekening!E26</f>
        <v>0.2422375</v>
      </c>
      <c r="F56" s="59"/>
    </row>
    <row r="57" spans="1:6" ht="18.75" customHeight="1" thickBot="1">
      <c r="A57" s="51"/>
      <c r="B57" s="41"/>
      <c r="C57" s="41"/>
      <c r="D57" s="40" t="s">
        <v>109</v>
      </c>
      <c r="E57" s="103" t="str">
        <f>Berekening!E27</f>
        <v>Nee</v>
      </c>
      <c r="F57" s="97"/>
    </row>
    <row r="58" spans="1:6" ht="16.5" thickTop="1">
      <c r="A58" s="162"/>
      <c r="B58" s="57" t="s">
        <v>103</v>
      </c>
      <c r="C58" s="164" t="s">
        <v>102</v>
      </c>
      <c r="D58" s="165"/>
      <c r="E58" s="104">
        <f>E24</f>
        <v>28</v>
      </c>
      <c r="F58" s="105" t="s">
        <v>66</v>
      </c>
    </row>
    <row r="59" spans="1:6" ht="15.75">
      <c r="A59" s="163"/>
      <c r="B59" s="43"/>
      <c r="C59" s="156" t="s">
        <v>29</v>
      </c>
      <c r="D59" s="157"/>
      <c r="E59" s="106" t="str">
        <f>E36</f>
        <v>M</v>
      </c>
      <c r="F59" s="100"/>
    </row>
    <row r="60" spans="1:6" ht="15.75" customHeight="1">
      <c r="A60" s="163"/>
      <c r="B60" s="44"/>
      <c r="C60" s="156" t="s">
        <v>104</v>
      </c>
      <c r="D60" s="157"/>
      <c r="E60" s="107">
        <f>F3+TIME(0,E28+E35+E34+E33+ROUNDUP(E24/10,0),0)</f>
        <v>14.035416666666666</v>
      </c>
      <c r="F60" s="100"/>
    </row>
    <row r="61" spans="1:6" ht="17.25" customHeight="1">
      <c r="A61" s="49"/>
      <c r="B61" s="45"/>
      <c r="C61" s="156" t="s">
        <v>105</v>
      </c>
      <c r="D61" s="157"/>
      <c r="E61" s="108">
        <f>E56</f>
        <v>0.2422375</v>
      </c>
      <c r="F61" s="59"/>
    </row>
    <row r="62" spans="1:6" ht="13.5" thickBot="1">
      <c r="A62" s="51"/>
      <c r="B62" s="53"/>
      <c r="C62" s="73"/>
      <c r="D62" s="40"/>
      <c r="E62" s="109"/>
      <c r="F62" s="97"/>
    </row>
    <row r="63" spans="1:5" ht="54" customHeight="1" thickBot="1" thickTop="1">
      <c r="A63" s="176" t="s">
        <v>91</v>
      </c>
      <c r="B63" s="177"/>
      <c r="C63" s="177"/>
      <c r="D63" s="177"/>
      <c r="E63" s="178"/>
    </row>
    <row r="64" ht="13.5" thickTop="1"/>
  </sheetData>
  <mergeCells count="82">
    <mergeCell ref="C61:D61"/>
    <mergeCell ref="A47:A48"/>
    <mergeCell ref="D47:D48"/>
    <mergeCell ref="E47:E48"/>
    <mergeCell ref="A49:A50"/>
    <mergeCell ref="E49:E50"/>
    <mergeCell ref="A51:A52"/>
    <mergeCell ref="D51:D52"/>
    <mergeCell ref="E51:E52"/>
    <mergeCell ref="A58:A60"/>
    <mergeCell ref="C60:D60"/>
    <mergeCell ref="C59:D59"/>
    <mergeCell ref="C58:D58"/>
    <mergeCell ref="F47:F48"/>
    <mergeCell ref="C47:C52"/>
    <mergeCell ref="E14:F14"/>
    <mergeCell ref="B16:B17"/>
    <mergeCell ref="C33:C36"/>
    <mergeCell ref="F43:F44"/>
    <mergeCell ref="F45:F46"/>
    <mergeCell ref="F49:F50"/>
    <mergeCell ref="F51:F52"/>
    <mergeCell ref="D49:D50"/>
    <mergeCell ref="E39:E40"/>
    <mergeCell ref="F39:F40"/>
    <mergeCell ref="C40:C41"/>
    <mergeCell ref="A41:A42"/>
    <mergeCell ref="E41:E42"/>
    <mergeCell ref="B3:C3"/>
    <mergeCell ref="B4:C4"/>
    <mergeCell ref="B5:C5"/>
    <mergeCell ref="A39:A40"/>
    <mergeCell ref="A63:E63"/>
    <mergeCell ref="F20:F21"/>
    <mergeCell ref="F22:F23"/>
    <mergeCell ref="F25:F27"/>
    <mergeCell ref="F28:F29"/>
    <mergeCell ref="E30:E31"/>
    <mergeCell ref="F37:F38"/>
    <mergeCell ref="F41:F42"/>
    <mergeCell ref="A53:A55"/>
    <mergeCell ref="C53:C55"/>
    <mergeCell ref="A45:A46"/>
    <mergeCell ref="C45:C46"/>
    <mergeCell ref="D45:D46"/>
    <mergeCell ref="E45:E46"/>
    <mergeCell ref="A43:A44"/>
    <mergeCell ref="E43:E44"/>
    <mergeCell ref="F30:F31"/>
    <mergeCell ref="A37:A38"/>
    <mergeCell ref="D37:D38"/>
    <mergeCell ref="E37:E38"/>
    <mergeCell ref="A30:A31"/>
    <mergeCell ref="B30:B31"/>
    <mergeCell ref="C30:C31"/>
    <mergeCell ref="D30:D31"/>
    <mergeCell ref="A28:A29"/>
    <mergeCell ref="B28:B29"/>
    <mergeCell ref="D28:D29"/>
    <mergeCell ref="E28:E29"/>
    <mergeCell ref="A25:A27"/>
    <mergeCell ref="B25:B27"/>
    <mergeCell ref="D25:D27"/>
    <mergeCell ref="E25:E27"/>
    <mergeCell ref="E20:E21"/>
    <mergeCell ref="A22:A23"/>
    <mergeCell ref="D22:D23"/>
    <mergeCell ref="E22:E23"/>
    <mergeCell ref="A15:A19"/>
    <mergeCell ref="C15:C19"/>
    <mergeCell ref="A20:A21"/>
    <mergeCell ref="D20:D21"/>
    <mergeCell ref="C11:D11"/>
    <mergeCell ref="A7:E7"/>
    <mergeCell ref="F2:I2"/>
    <mergeCell ref="F5:I5"/>
    <mergeCell ref="F4:I4"/>
    <mergeCell ref="A8:A10"/>
    <mergeCell ref="C8:D8"/>
    <mergeCell ref="C9:D9"/>
    <mergeCell ref="C10:D10"/>
    <mergeCell ref="B2:C2"/>
  </mergeCells>
  <printOptions horizontalCentered="1" verticalCentered="1"/>
  <pageMargins left="0.7480314960629921" right="0.4330708661417323" top="0.6299212598425197" bottom="0.5905511811023623" header="0.2362204724409449" footer="0.2755905511811024"/>
  <pageSetup fitToHeight="1" fitToWidth="1" horizontalDpi="600" verticalDpi="600" orientation="portrait" paperSize="9" scale="85" r:id="rId4"/>
  <headerFooter alignWithMargins="0">
    <oddHeader>&amp;C&amp;"Comic Sans MS,Normal"&amp;16&amp;UNITROX - DUIKPLANNING</oddHeader>
    <oddFooter>&amp;LHoesy&amp;RJuni 05</oddFooter>
  </headerFooter>
  <drawing r:id="rId3"/>
  <legacyDrawing r:id="rId2"/>
  <oleObjects>
    <oleObject progId="Equation.3" shapeId="722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G11" sqref="G11"/>
    </sheetView>
  </sheetViews>
  <sheetFormatPr defaultColWidth="9.140625" defaultRowHeight="12.75"/>
  <cols>
    <col min="1" max="1" width="4.421875" style="0" bestFit="1" customWidth="1"/>
    <col min="2" max="2" width="25.7109375" style="0" bestFit="1" customWidth="1"/>
    <col min="3" max="3" width="18.57421875" style="0" bestFit="1" customWidth="1"/>
    <col min="4" max="4" width="17.421875" style="21" customWidth="1"/>
    <col min="5" max="5" width="19.00390625" style="21" customWidth="1"/>
    <col min="6" max="11" width="15.421875" style="21" customWidth="1"/>
  </cols>
  <sheetData>
    <row r="1" spans="4:11" ht="13.5" thickBot="1">
      <c r="D1" s="21" t="s">
        <v>45</v>
      </c>
      <c r="F1" s="21" t="s">
        <v>52</v>
      </c>
      <c r="G1" s="21">
        <v>9</v>
      </c>
      <c r="H1" s="21" t="s">
        <v>51</v>
      </c>
      <c r="I1" s="21">
        <v>6</v>
      </c>
      <c r="J1" s="21" t="s">
        <v>50</v>
      </c>
      <c r="K1" s="21">
        <v>3</v>
      </c>
    </row>
    <row r="2" spans="1:11" ht="20.25" thickBot="1" thickTop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4</v>
      </c>
      <c r="G2" s="3" t="s">
        <v>5</v>
      </c>
      <c r="H2" s="2" t="s">
        <v>4</v>
      </c>
      <c r="I2" s="3" t="s">
        <v>5</v>
      </c>
      <c r="J2" s="2" t="s">
        <v>4</v>
      </c>
      <c r="K2" s="3" t="s">
        <v>5</v>
      </c>
    </row>
    <row r="3" spans="1:11" ht="48" customHeight="1" thickBot="1" thickTop="1">
      <c r="A3" s="4">
        <v>1</v>
      </c>
      <c r="B3" s="5" t="s">
        <v>6</v>
      </c>
      <c r="C3" s="13" t="s">
        <v>7</v>
      </c>
      <c r="D3" s="33"/>
      <c r="E3" s="17">
        <f>Planning!E15</f>
        <v>0.367</v>
      </c>
      <c r="F3" s="22">
        <f>IF(G3=0,E3,G3)</f>
        <v>0.367</v>
      </c>
      <c r="G3" s="17">
        <f>Planning!E16</f>
        <v>0</v>
      </c>
      <c r="H3" s="58">
        <f>IF(I3=0,E3,I3)</f>
        <v>0.367</v>
      </c>
      <c r="I3" s="17">
        <f>Planning!E17</f>
        <v>0</v>
      </c>
      <c r="J3" s="58">
        <f>IF(K3=0,E3,K3)</f>
        <v>0.568</v>
      </c>
      <c r="K3" s="17">
        <f>Planning!E18</f>
        <v>0.568</v>
      </c>
    </row>
    <row r="4" spans="1:11" ht="16.5" thickBot="1">
      <c r="A4" s="12" t="s">
        <v>8</v>
      </c>
      <c r="B4" s="6" t="s">
        <v>9</v>
      </c>
      <c r="C4" s="6" t="s">
        <v>10</v>
      </c>
      <c r="D4" s="20">
        <f>((1.5/E3)-1)*10</f>
        <v>30.871934604904638</v>
      </c>
      <c r="E4" s="20">
        <f>ROUNDDOWN(D4,0)</f>
        <v>30</v>
      </c>
      <c r="F4" s="20">
        <f>((1.5/F3)-1)*10</f>
        <v>30.871934604904638</v>
      </c>
      <c r="G4" s="20">
        <f>ROUNDDOWN(F4,0)</f>
        <v>30</v>
      </c>
      <c r="H4" s="20">
        <f>((1.5/H3)-1)*10</f>
        <v>30.871934604904638</v>
      </c>
      <c r="I4" s="20">
        <f>ROUNDDOWN(H4,0)</f>
        <v>30</v>
      </c>
      <c r="J4" s="20">
        <f>((1.5/J3)-1)*10</f>
        <v>16.408450704225356</v>
      </c>
      <c r="K4" s="20">
        <f>ROUNDDOWN(J4,0)</f>
        <v>16</v>
      </c>
    </row>
    <row r="5" spans="1:11" ht="27.75" customHeight="1">
      <c r="A5" s="12" t="s">
        <v>12</v>
      </c>
      <c r="B5" s="6" t="s">
        <v>13</v>
      </c>
      <c r="C5" s="6" t="s">
        <v>10</v>
      </c>
      <c r="D5" s="20">
        <f>((1.4/E3)-1)*10</f>
        <v>28.147138964577657</v>
      </c>
      <c r="E5" s="20">
        <f>ROUNDDOWN(D5,0)</f>
        <v>28</v>
      </c>
      <c r="F5" s="20">
        <f>((1.4/F3)-1)*10</f>
        <v>28.147138964577657</v>
      </c>
      <c r="G5" s="20">
        <f>ROUNDDOWN(F5,0)</f>
        <v>28</v>
      </c>
      <c r="H5" s="20">
        <f>((1.4/H3)-1)*10</f>
        <v>28.147138964577657</v>
      </c>
      <c r="I5" s="20">
        <f>ROUNDDOWN(H5,0)</f>
        <v>28</v>
      </c>
      <c r="J5" s="20">
        <f>((1.4/J3)-1)*10</f>
        <v>14.647887323943664</v>
      </c>
      <c r="K5" s="20">
        <f>ROUNDDOWN(J5,0)</f>
        <v>14</v>
      </c>
    </row>
    <row r="6" spans="1:11" ht="16.5" thickBot="1">
      <c r="A6" s="8">
        <v>3</v>
      </c>
      <c r="B6" s="7" t="s">
        <v>14</v>
      </c>
      <c r="C6" s="7" t="s">
        <v>15</v>
      </c>
      <c r="D6" s="19">
        <f>E6</f>
        <v>28</v>
      </c>
      <c r="E6" s="25">
        <f>Planning!E24</f>
        <v>28</v>
      </c>
      <c r="F6" s="19">
        <f>G6</f>
        <v>9</v>
      </c>
      <c r="G6" s="19">
        <f>G1</f>
        <v>9</v>
      </c>
      <c r="H6" s="19">
        <f>I6</f>
        <v>6</v>
      </c>
      <c r="I6" s="19">
        <f>I1</f>
        <v>6</v>
      </c>
      <c r="J6" s="19">
        <f>K6</f>
        <v>3</v>
      </c>
      <c r="K6" s="19">
        <f>K1</f>
        <v>3</v>
      </c>
    </row>
    <row r="7" spans="1:11" ht="17.25" customHeight="1">
      <c r="A7" s="210">
        <v>4</v>
      </c>
      <c r="B7" s="213" t="s">
        <v>0</v>
      </c>
      <c r="C7" s="6" t="s">
        <v>16</v>
      </c>
      <c r="D7" s="14">
        <f>(1-E3)*(E6+10)/0.79-10</f>
        <v>20.448101265822785</v>
      </c>
      <c r="E7" s="216">
        <f>ROUNDUP(D7,0)</f>
        <v>21</v>
      </c>
      <c r="F7" s="207"/>
      <c r="G7" s="207"/>
      <c r="H7" s="207"/>
      <c r="I7" s="207"/>
      <c r="J7" s="207"/>
      <c r="K7" s="207"/>
    </row>
    <row r="8" spans="1:11" ht="15.75" customHeight="1">
      <c r="A8" s="211"/>
      <c r="B8" s="214"/>
      <c r="C8" s="6" t="s">
        <v>17</v>
      </c>
      <c r="D8" s="15"/>
      <c r="E8" s="217"/>
      <c r="F8" s="209"/>
      <c r="G8" s="209"/>
      <c r="H8" s="209"/>
      <c r="I8" s="209"/>
      <c r="J8" s="209"/>
      <c r="K8" s="209"/>
    </row>
    <row r="9" spans="1:11" ht="18.75" customHeight="1" thickBot="1">
      <c r="A9" s="212"/>
      <c r="B9" s="215"/>
      <c r="C9" s="7" t="s">
        <v>11</v>
      </c>
      <c r="D9" s="16">
        <f>ROUNDUP(E7/3,0)*3</f>
        <v>21</v>
      </c>
      <c r="E9" s="218"/>
      <c r="F9" s="208"/>
      <c r="G9" s="208"/>
      <c r="H9" s="208"/>
      <c r="I9" s="208"/>
      <c r="J9" s="208"/>
      <c r="K9" s="208"/>
    </row>
    <row r="10" spans="1:11" ht="18" customHeight="1">
      <c r="A10" s="210" t="s">
        <v>18</v>
      </c>
      <c r="B10" s="213" t="s">
        <v>19</v>
      </c>
      <c r="C10" s="213" t="s">
        <v>20</v>
      </c>
      <c r="D10" s="14" t="s">
        <v>143</v>
      </c>
      <c r="E10" s="152">
        <f>Planning!E10*60+Planning!G10</f>
        <v>620</v>
      </c>
      <c r="F10" s="154" t="s">
        <v>145</v>
      </c>
      <c r="G10" s="154">
        <f>IF(E11&gt;E10,E11-E10,E11-E10+24*60)</f>
        <v>235</v>
      </c>
      <c r="H10" s="207"/>
      <c r="I10" s="207"/>
      <c r="J10" s="207"/>
      <c r="K10" s="207"/>
    </row>
    <row r="11" spans="1:11" ht="13.5" customHeight="1" thickBot="1">
      <c r="A11" s="212"/>
      <c r="B11" s="215"/>
      <c r="C11" s="215"/>
      <c r="D11" s="16" t="s">
        <v>144</v>
      </c>
      <c r="E11" s="153">
        <f>Planning!F3*60+Planning!H3</f>
        <v>855</v>
      </c>
      <c r="F11" s="155"/>
      <c r="G11" s="155"/>
      <c r="H11" s="208"/>
      <c r="I11" s="208"/>
      <c r="J11" s="208"/>
      <c r="K11" s="208"/>
    </row>
    <row r="12" spans="1:11" ht="16.5" thickBot="1">
      <c r="A12" s="8" t="s">
        <v>22</v>
      </c>
      <c r="B12" s="7" t="s">
        <v>23</v>
      </c>
      <c r="C12" s="7" t="s">
        <v>15</v>
      </c>
      <c r="D12" s="19" t="s">
        <v>21</v>
      </c>
      <c r="E12" s="25">
        <f>+Planning!E32</f>
        <v>50</v>
      </c>
      <c r="F12" s="24"/>
      <c r="G12" s="24"/>
      <c r="H12" s="24"/>
      <c r="I12" s="24"/>
      <c r="J12" s="24"/>
      <c r="K12" s="24"/>
    </row>
    <row r="13" spans="1:11" ht="15.75">
      <c r="A13" s="210">
        <v>6</v>
      </c>
      <c r="B13" s="213" t="s">
        <v>24</v>
      </c>
      <c r="C13" s="6" t="s">
        <v>15</v>
      </c>
      <c r="D13" s="216" t="s">
        <v>21</v>
      </c>
      <c r="E13" s="220">
        <f>Planning!E28</f>
        <v>30</v>
      </c>
      <c r="F13" s="207"/>
      <c r="G13" s="207"/>
      <c r="H13" s="207"/>
      <c r="I13" s="207"/>
      <c r="J13" s="207"/>
      <c r="K13" s="207"/>
    </row>
    <row r="14" spans="1:11" ht="16.5" thickBot="1">
      <c r="A14" s="212"/>
      <c r="B14" s="215"/>
      <c r="C14" s="7" t="s">
        <v>25</v>
      </c>
      <c r="D14" s="218"/>
      <c r="E14" s="221"/>
      <c r="F14" s="208"/>
      <c r="G14" s="208"/>
      <c r="H14" s="208"/>
      <c r="I14" s="208"/>
      <c r="J14" s="208"/>
      <c r="K14" s="208"/>
    </row>
    <row r="15" spans="1:11" ht="16.5" thickBot="1">
      <c r="A15" s="8" t="s">
        <v>26</v>
      </c>
      <c r="B15" s="7" t="s">
        <v>46</v>
      </c>
      <c r="C15" s="213" t="s">
        <v>27</v>
      </c>
      <c r="D15" s="24"/>
      <c r="E15" s="24"/>
      <c r="F15" s="19" t="s">
        <v>21</v>
      </c>
      <c r="G15" s="70">
        <f>VLOOKUP(D9+(E13+E12)/1000,Luchttabel!C:H,3)</f>
        <v>0</v>
      </c>
      <c r="H15" s="70" t="s">
        <v>21</v>
      </c>
      <c r="I15" s="70">
        <f>VLOOKUP(D9+(E13+E12)/1000,Luchttabel!C:H,4)</f>
        <v>0</v>
      </c>
      <c r="J15" s="70" t="s">
        <v>21</v>
      </c>
      <c r="K15" s="70">
        <f>VLOOKUP(D9+(E13+E12)/1000,Luchttabel!C:H,5)</f>
        <v>18</v>
      </c>
    </row>
    <row r="16" spans="1:11" ht="16.5" thickBot="1">
      <c r="A16" s="10" t="s">
        <v>28</v>
      </c>
      <c r="B16" s="11" t="s">
        <v>29</v>
      </c>
      <c r="C16" s="219"/>
      <c r="D16" s="26"/>
      <c r="E16" s="71" t="str">
        <f>VLOOKUP(D9+(E13+E12)/1000,Luchttabel!C:H,6)</f>
        <v>M</v>
      </c>
      <c r="F16" s="26"/>
      <c r="G16" s="27"/>
      <c r="H16" s="26"/>
      <c r="I16" s="27"/>
      <c r="J16" s="26"/>
      <c r="K16" s="27"/>
    </row>
    <row r="17" spans="1:11" ht="51" customHeight="1" thickBot="1" thickTop="1">
      <c r="A17" s="4">
        <v>8</v>
      </c>
      <c r="B17" s="6" t="s">
        <v>30</v>
      </c>
      <c r="C17" s="6" t="s">
        <v>31</v>
      </c>
      <c r="D17" s="33">
        <f>E3*(E6+10)/10</f>
        <v>1.3946</v>
      </c>
      <c r="E17" s="34">
        <f>ROUNDUP(D17,1)</f>
        <v>1.4000000000000001</v>
      </c>
      <c r="F17" s="28"/>
      <c r="G17" s="29"/>
      <c r="H17" s="28"/>
      <c r="I17" s="29"/>
      <c r="J17" s="28"/>
      <c r="K17" s="29"/>
    </row>
    <row r="18" spans="1:11" ht="19.5" thickBot="1">
      <c r="A18" s="12">
        <v>9</v>
      </c>
      <c r="B18" s="6" t="s">
        <v>47</v>
      </c>
      <c r="C18" s="6" t="s">
        <v>31</v>
      </c>
      <c r="D18" s="23"/>
      <c r="E18" s="31"/>
      <c r="F18" s="20">
        <f>(G1+10)/10*G3</f>
        <v>0</v>
      </c>
      <c r="G18" s="30">
        <f>ROUNDUP(F18,1)</f>
        <v>0</v>
      </c>
      <c r="H18" s="20">
        <f>(I1+10)/10*I3</f>
        <v>0</v>
      </c>
      <c r="I18" s="30">
        <f>ROUNDUP(H18,1)</f>
        <v>0</v>
      </c>
      <c r="J18" s="20">
        <f>(K1+10)/10*K3</f>
        <v>0.7384</v>
      </c>
      <c r="K18" s="30">
        <f>ROUNDUP(J18,1)</f>
        <v>0.7999999999999999</v>
      </c>
    </row>
    <row r="19" spans="1:11" ht="15.75">
      <c r="A19" s="210">
        <v>10</v>
      </c>
      <c r="B19" s="6" t="s">
        <v>32</v>
      </c>
      <c r="C19" s="213" t="s">
        <v>34</v>
      </c>
      <c r="D19" s="222">
        <f>VLOOKUP(Berekening!E17,'CZS-%'!A2:B18,2)</f>
        <v>0.0067</v>
      </c>
      <c r="E19" s="223">
        <f>D19*E13</f>
        <v>0.201</v>
      </c>
      <c r="F19" s="207"/>
      <c r="G19" s="199"/>
      <c r="H19" s="207"/>
      <c r="I19" s="199"/>
      <c r="J19" s="207"/>
      <c r="K19" s="199"/>
    </row>
    <row r="20" spans="1:11" ht="16.5" thickBot="1">
      <c r="A20" s="212"/>
      <c r="B20" s="7" t="s">
        <v>33</v>
      </c>
      <c r="C20" s="215"/>
      <c r="D20" s="204"/>
      <c r="E20" s="224"/>
      <c r="F20" s="208"/>
      <c r="G20" s="201"/>
      <c r="H20" s="208"/>
      <c r="I20" s="201"/>
      <c r="J20" s="208"/>
      <c r="K20" s="201"/>
    </row>
    <row r="21" spans="1:11" ht="15.75">
      <c r="A21" s="210">
        <v>11</v>
      </c>
      <c r="B21" s="6" t="s">
        <v>48</v>
      </c>
      <c r="C21" s="213" t="s">
        <v>36</v>
      </c>
      <c r="D21" s="207"/>
      <c r="E21" s="225"/>
      <c r="F21" s="203">
        <f>VLOOKUP(G18,'CZS-%'!A2:B18,2)</f>
        <v>0</v>
      </c>
      <c r="G21" s="205">
        <f>F21*G15</f>
        <v>0</v>
      </c>
      <c r="H21" s="203">
        <f>VLOOKUP(I18,'CZS-%'!A2:B18,2)</f>
        <v>0</v>
      </c>
      <c r="I21" s="205">
        <f>H21*I15</f>
        <v>0</v>
      </c>
      <c r="J21" s="203">
        <f>VLOOKUP(K18,'CZS-%'!A2:B18,2)</f>
        <v>0.0018</v>
      </c>
      <c r="K21" s="205">
        <f>J21*K15</f>
        <v>0.0324</v>
      </c>
    </row>
    <row r="22" spans="1:11" ht="16.5" thickBot="1">
      <c r="A22" s="212"/>
      <c r="B22" s="7" t="s">
        <v>35</v>
      </c>
      <c r="C22" s="214"/>
      <c r="D22" s="208"/>
      <c r="E22" s="226"/>
      <c r="F22" s="204"/>
      <c r="G22" s="206"/>
      <c r="H22" s="204"/>
      <c r="I22" s="206"/>
      <c r="J22" s="204"/>
      <c r="K22" s="206"/>
    </row>
    <row r="23" spans="1:11" ht="15.75">
      <c r="A23" s="210">
        <v>12</v>
      </c>
      <c r="B23" s="6" t="s">
        <v>37</v>
      </c>
      <c r="C23" s="213" t="s">
        <v>39</v>
      </c>
      <c r="D23" s="18" t="s">
        <v>49</v>
      </c>
      <c r="E23" s="86">
        <f>Planning!E53</f>
        <v>0.5656</v>
      </c>
      <c r="F23" s="32"/>
      <c r="G23" s="199"/>
      <c r="H23" s="32"/>
      <c r="I23" s="199"/>
      <c r="J23" s="32"/>
      <c r="K23" s="199"/>
    </row>
    <row r="24" spans="1:11" ht="31.5">
      <c r="A24" s="211"/>
      <c r="B24" s="6" t="s">
        <v>38</v>
      </c>
      <c r="C24" s="214"/>
      <c r="D24" s="18" t="s">
        <v>40</v>
      </c>
      <c r="E24" s="35">
        <f>IF(E10="geen nieuwe duik",0,IF(E10="geen succesieve duik","geen succesieve duik",ROUNDDOWN(E10/90,0)))</f>
        <v>6</v>
      </c>
      <c r="F24" s="32"/>
      <c r="G24" s="200"/>
      <c r="H24" s="32"/>
      <c r="I24" s="200"/>
      <c r="J24" s="32"/>
      <c r="K24" s="200"/>
    </row>
    <row r="25" spans="1:11" ht="16.5" thickBot="1">
      <c r="A25" s="212"/>
      <c r="B25" s="9"/>
      <c r="C25" s="215"/>
      <c r="D25" s="19" t="s">
        <v>41</v>
      </c>
      <c r="E25" s="85">
        <f>IF(E10="geen succesieve duik",0,E23*0.5^E24)</f>
        <v>0.0088375</v>
      </c>
      <c r="F25" s="24"/>
      <c r="G25" s="201"/>
      <c r="H25" s="24"/>
      <c r="I25" s="201"/>
      <c r="J25" s="24"/>
      <c r="K25" s="201"/>
    </row>
    <row r="26" spans="1:11" ht="15.75">
      <c r="A26" s="210">
        <v>13</v>
      </c>
      <c r="B26" s="213"/>
      <c r="C26" s="213" t="s">
        <v>42</v>
      </c>
      <c r="D26" s="18" t="s">
        <v>43</v>
      </c>
      <c r="E26" s="87">
        <f>E25+G21+I21+K21+E19</f>
        <v>0.2422375</v>
      </c>
      <c r="F26" s="32"/>
      <c r="G26" s="199"/>
      <c r="H26" s="32"/>
      <c r="I26" s="199"/>
      <c r="J26" s="32"/>
      <c r="K26" s="199"/>
    </row>
    <row r="27" spans="1:11" ht="32.25" thickBot="1">
      <c r="A27" s="227"/>
      <c r="B27" s="219"/>
      <c r="C27" s="219"/>
      <c r="D27" s="36" t="s">
        <v>44</v>
      </c>
      <c r="E27" s="37" t="str">
        <f>IF(E26&gt;0.8,"Ja","Nee")</f>
        <v>Nee</v>
      </c>
      <c r="F27" s="26"/>
      <c r="G27" s="202"/>
      <c r="H27" s="26"/>
      <c r="I27" s="202"/>
      <c r="J27" s="26"/>
      <c r="K27" s="202"/>
    </row>
    <row r="28" ht="13.5" thickTop="1"/>
  </sheetData>
  <mergeCells count="58">
    <mergeCell ref="A23:A25"/>
    <mergeCell ref="C23:C25"/>
    <mergeCell ref="A26:A27"/>
    <mergeCell ref="B26:B27"/>
    <mergeCell ref="C26:C27"/>
    <mergeCell ref="A21:A22"/>
    <mergeCell ref="C21:C22"/>
    <mergeCell ref="D21:D22"/>
    <mergeCell ref="E21:E22"/>
    <mergeCell ref="A19:A20"/>
    <mergeCell ref="C19:C20"/>
    <mergeCell ref="D19:D20"/>
    <mergeCell ref="E19:E20"/>
    <mergeCell ref="E13:E14"/>
    <mergeCell ref="A10:A11"/>
    <mergeCell ref="B10:B11"/>
    <mergeCell ref="C10:C11"/>
    <mergeCell ref="C15:C16"/>
    <mergeCell ref="A13:A14"/>
    <mergeCell ref="B13:B14"/>
    <mergeCell ref="D13:D14"/>
    <mergeCell ref="A7:A9"/>
    <mergeCell ref="B7:B9"/>
    <mergeCell ref="E7:E9"/>
    <mergeCell ref="F7:F9"/>
    <mergeCell ref="G7:G9"/>
    <mergeCell ref="F21:F22"/>
    <mergeCell ref="G21:G22"/>
    <mergeCell ref="F13:F14"/>
    <mergeCell ref="G13:G14"/>
    <mergeCell ref="F19:F20"/>
    <mergeCell ref="G19:G20"/>
    <mergeCell ref="H13:H14"/>
    <mergeCell ref="I13:I14"/>
    <mergeCell ref="H19:H20"/>
    <mergeCell ref="I19:I20"/>
    <mergeCell ref="H7:H9"/>
    <mergeCell ref="I7:I9"/>
    <mergeCell ref="H10:H11"/>
    <mergeCell ref="I10:I11"/>
    <mergeCell ref="H21:H22"/>
    <mergeCell ref="I21:I22"/>
    <mergeCell ref="G23:G25"/>
    <mergeCell ref="G26:G27"/>
    <mergeCell ref="I23:I25"/>
    <mergeCell ref="I26:I27"/>
    <mergeCell ref="J7:J9"/>
    <mergeCell ref="K7:K9"/>
    <mergeCell ref="J10:J11"/>
    <mergeCell ref="K10:K11"/>
    <mergeCell ref="J13:J14"/>
    <mergeCell ref="K13:K14"/>
    <mergeCell ref="J19:J20"/>
    <mergeCell ref="K19:K20"/>
    <mergeCell ref="K23:K25"/>
    <mergeCell ref="K26:K27"/>
    <mergeCell ref="J21:J22"/>
    <mergeCell ref="K21:K22"/>
  </mergeCells>
  <conditionalFormatting sqref="F6 H6 J6">
    <cfRule type="cellIs" priority="1" dxfId="0" operator="greaterThan" stopIfTrue="1">
      <formula>G$4</formula>
    </cfRule>
    <cfRule type="cellIs" priority="2" dxfId="1" operator="between" stopIfTrue="1">
      <formula>G$4</formula>
      <formula>G$5</formula>
    </cfRule>
    <cfRule type="cellIs" priority="3" dxfId="2" operator="lessThanOrEqual" stopIfTrue="1">
      <formula>G$5</formula>
    </cfRule>
  </conditionalFormatting>
  <conditionalFormatting sqref="D6">
    <cfRule type="cellIs" priority="4" dxfId="0" operator="greaterThan" stopIfTrue="1">
      <formula>$E$4</formula>
    </cfRule>
    <cfRule type="cellIs" priority="5" dxfId="1" operator="between" stopIfTrue="1">
      <formula>$E$4</formula>
      <formula>$E$5</formula>
    </cfRule>
    <cfRule type="cellIs" priority="6" dxfId="2" operator="lessThanOrEqual" stopIfTrue="1">
      <formula>$E$5</formula>
    </cfRule>
  </conditionalFormatting>
  <conditionalFormatting sqref="E27">
    <cfRule type="cellIs" priority="7" dxfId="0" operator="equal" stopIfTrue="1">
      <formula>"""Ja"""</formula>
    </cfRule>
    <cfRule type="cellIs" priority="8" dxfId="2" operator="notEqual" stopIfTrue="1">
      <formula>"""Ja"""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bestFit="1" customWidth="1"/>
  </cols>
  <sheetData>
    <row r="1" spans="1:2" ht="12.75">
      <c r="A1" s="67" t="s">
        <v>107</v>
      </c>
      <c r="B1" s="67" t="s">
        <v>108</v>
      </c>
    </row>
    <row r="2" spans="1:2" ht="12.75">
      <c r="A2" s="21">
        <v>0</v>
      </c>
      <c r="B2" s="64">
        <v>0</v>
      </c>
    </row>
    <row r="3" spans="1:2" ht="12.75">
      <c r="A3" s="21">
        <v>0.1</v>
      </c>
      <c r="B3" s="64">
        <v>0</v>
      </c>
    </row>
    <row r="4" spans="1:2" ht="12.75">
      <c r="A4" s="21">
        <v>0.2</v>
      </c>
      <c r="B4" s="64">
        <v>0</v>
      </c>
    </row>
    <row r="5" spans="1:2" ht="12.75">
      <c r="A5" s="21">
        <v>0.3</v>
      </c>
      <c r="B5" s="64">
        <v>0</v>
      </c>
    </row>
    <row r="6" spans="1:2" ht="13.5" customHeight="1">
      <c r="A6" s="21">
        <v>0.4</v>
      </c>
      <c r="B6" s="64">
        <v>0</v>
      </c>
    </row>
    <row r="7" spans="1:2" ht="12.75">
      <c r="A7" s="21">
        <v>0.5</v>
      </c>
      <c r="B7" s="65">
        <v>0</v>
      </c>
    </row>
    <row r="8" spans="1:2" ht="12.75" customHeight="1">
      <c r="A8" s="21">
        <v>0.6</v>
      </c>
      <c r="B8" s="64">
        <v>0.0014</v>
      </c>
    </row>
    <row r="9" spans="1:2" ht="13.5" customHeight="1">
      <c r="A9" s="21">
        <v>0.7</v>
      </c>
      <c r="B9" s="64">
        <v>0.0018</v>
      </c>
    </row>
    <row r="10" spans="1:2" ht="16.5" customHeight="1">
      <c r="A10" s="21">
        <v>0.8</v>
      </c>
      <c r="B10" s="64">
        <v>0.0022</v>
      </c>
    </row>
    <row r="11" spans="1:2" ht="12.75">
      <c r="A11" s="21">
        <v>0.9</v>
      </c>
      <c r="B11" s="64">
        <v>0.0028</v>
      </c>
    </row>
    <row r="12" spans="1:2" ht="12.75">
      <c r="A12" s="21">
        <v>1</v>
      </c>
      <c r="B12" s="64">
        <v>0.0033</v>
      </c>
    </row>
    <row r="13" spans="1:2" ht="12.75">
      <c r="A13" s="21">
        <v>1.1</v>
      </c>
      <c r="B13" s="64">
        <v>0.0042</v>
      </c>
    </row>
    <row r="14" spans="1:2" ht="12.75">
      <c r="A14" s="21">
        <v>1.2</v>
      </c>
      <c r="B14" s="64">
        <v>0.0048</v>
      </c>
    </row>
    <row r="15" spans="1:2" ht="12.75">
      <c r="A15" s="21">
        <v>1.3</v>
      </c>
      <c r="B15" s="64">
        <v>0.0056</v>
      </c>
    </row>
    <row r="16" spans="1:2" ht="12.75">
      <c r="A16" s="21">
        <v>1.4</v>
      </c>
      <c r="B16" s="64">
        <v>0.0067</v>
      </c>
    </row>
    <row r="17" spans="1:2" ht="12.75">
      <c r="A17" s="21">
        <v>1.5</v>
      </c>
      <c r="B17" s="64">
        <v>0.0083</v>
      </c>
    </row>
    <row r="18" spans="1:2" ht="12.75">
      <c r="A18" s="21">
        <v>1.6</v>
      </c>
      <c r="B18" s="66">
        <v>100000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2"/>
  <sheetViews>
    <sheetView workbookViewId="0" topLeftCell="A1">
      <selection activeCell="K8" sqref="K8"/>
    </sheetView>
  </sheetViews>
  <sheetFormatPr defaultColWidth="9.140625" defaultRowHeight="12.75"/>
  <cols>
    <col min="3" max="3" width="8.28125" style="0" customWidth="1"/>
    <col min="4" max="4" width="4.57421875" style="0" bestFit="1" customWidth="1"/>
    <col min="5" max="5" width="4.28125" style="0" customWidth="1"/>
    <col min="6" max="6" width="4.7109375" style="0" customWidth="1"/>
    <col min="7" max="7" width="4.421875" style="0" customWidth="1"/>
    <col min="8" max="8" width="6.28125" style="0" bestFit="1" customWidth="1"/>
  </cols>
  <sheetData>
    <row r="1" spans="1:8" ht="12.75">
      <c r="A1" t="s">
        <v>116</v>
      </c>
      <c r="B1" t="s">
        <v>24</v>
      </c>
      <c r="C1" t="s">
        <v>117</v>
      </c>
      <c r="D1" t="s">
        <v>110</v>
      </c>
      <c r="H1" t="s">
        <v>115</v>
      </c>
    </row>
    <row r="2" spans="2:10" ht="12.75">
      <c r="B2" t="s">
        <v>21</v>
      </c>
      <c r="D2" t="s">
        <v>111</v>
      </c>
      <c r="E2" t="s">
        <v>112</v>
      </c>
      <c r="F2" t="s">
        <v>113</v>
      </c>
      <c r="G2" t="s">
        <v>114</v>
      </c>
      <c r="J2">
        <v>18.06</v>
      </c>
    </row>
    <row r="3" spans="1:10" ht="12.75">
      <c r="A3" s="69">
        <v>3</v>
      </c>
      <c r="B3">
        <v>0</v>
      </c>
      <c r="C3" s="68">
        <f>A3+B3/1000</f>
        <v>3</v>
      </c>
      <c r="H3" t="s">
        <v>118</v>
      </c>
      <c r="J3">
        <f>VLOOKUP(J2,C:H,5)</f>
        <v>0</v>
      </c>
    </row>
    <row r="4" spans="1:8" ht="12.75">
      <c r="A4">
        <v>3</v>
      </c>
      <c r="B4">
        <v>60</v>
      </c>
      <c r="C4" s="68">
        <f>A4+B3/1000+0.0001</f>
        <v>3.0001</v>
      </c>
      <c r="H4" t="s">
        <v>118</v>
      </c>
    </row>
    <row r="5" spans="1:8" ht="12.75">
      <c r="A5">
        <v>3</v>
      </c>
      <c r="B5">
        <v>120</v>
      </c>
      <c r="C5" s="68">
        <f>A5+B4/1000+0.0001</f>
        <v>3.0601000000000003</v>
      </c>
      <c r="H5" t="s">
        <v>119</v>
      </c>
    </row>
    <row r="6" spans="1:8" ht="12.75">
      <c r="A6">
        <v>3</v>
      </c>
      <c r="B6">
        <v>210</v>
      </c>
      <c r="C6" s="68">
        <f aca="true" t="shared" si="0" ref="C6:C75">A6+B5/1000+0.0001</f>
        <v>3.1201000000000003</v>
      </c>
      <c r="H6" t="s">
        <v>120</v>
      </c>
    </row>
    <row r="7" spans="1:8" ht="12.75">
      <c r="A7">
        <v>3</v>
      </c>
      <c r="C7" s="68">
        <f t="shared" si="0"/>
        <v>3.2101</v>
      </c>
      <c r="D7" t="s">
        <v>132</v>
      </c>
      <c r="E7" t="s">
        <v>132</v>
      </c>
      <c r="F7" t="s">
        <v>132</v>
      </c>
      <c r="G7" t="s">
        <v>132</v>
      </c>
      <c r="H7" t="s">
        <v>132</v>
      </c>
    </row>
    <row r="8" spans="1:8" ht="12.75">
      <c r="A8">
        <v>6</v>
      </c>
      <c r="B8">
        <v>0</v>
      </c>
      <c r="C8" s="68">
        <f>A8+B6/1000+0.0001</f>
        <v>6.2101</v>
      </c>
      <c r="H8" t="s">
        <v>119</v>
      </c>
    </row>
    <row r="9" spans="1:8" ht="12.75">
      <c r="A9" s="69">
        <v>6</v>
      </c>
      <c r="B9">
        <v>50</v>
      </c>
      <c r="C9" s="68">
        <f>A9+B8/1000+0.0001</f>
        <v>6.0001</v>
      </c>
      <c r="H9" t="s">
        <v>119</v>
      </c>
    </row>
    <row r="10" spans="1:8" ht="12.75">
      <c r="A10">
        <v>6</v>
      </c>
      <c r="B10">
        <v>75</v>
      </c>
      <c r="C10" s="68">
        <f t="shared" si="0"/>
        <v>6.0501</v>
      </c>
      <c r="H10" t="s">
        <v>120</v>
      </c>
    </row>
    <row r="11" spans="1:8" ht="12.75">
      <c r="A11">
        <v>6</v>
      </c>
      <c r="B11">
        <v>100</v>
      </c>
      <c r="C11" s="68">
        <f t="shared" si="0"/>
        <v>6.0751</v>
      </c>
      <c r="H11" t="s">
        <v>121</v>
      </c>
    </row>
    <row r="12" spans="1:8" ht="12.75">
      <c r="A12">
        <v>6</v>
      </c>
      <c r="B12">
        <v>135</v>
      </c>
      <c r="C12" s="68">
        <f t="shared" si="0"/>
        <v>6.100099999999999</v>
      </c>
      <c r="H12" t="s">
        <v>122</v>
      </c>
    </row>
    <row r="13" spans="1:8" ht="12.75">
      <c r="A13">
        <v>6</v>
      </c>
      <c r="C13" s="68">
        <f t="shared" si="0"/>
        <v>6.1350999999999996</v>
      </c>
      <c r="D13" t="s">
        <v>132</v>
      </c>
      <c r="E13" t="s">
        <v>132</v>
      </c>
      <c r="F13" t="s">
        <v>132</v>
      </c>
      <c r="G13" t="s">
        <v>132</v>
      </c>
      <c r="H13" t="s">
        <v>132</v>
      </c>
    </row>
    <row r="14" spans="1:8" ht="12.75">
      <c r="A14" s="69">
        <v>9</v>
      </c>
      <c r="B14">
        <v>0</v>
      </c>
      <c r="C14" s="68">
        <v>9</v>
      </c>
      <c r="H14" t="s">
        <v>119</v>
      </c>
    </row>
    <row r="15" spans="1:8" ht="12.75">
      <c r="A15">
        <v>9</v>
      </c>
      <c r="B15">
        <v>30</v>
      </c>
      <c r="C15" s="68">
        <f t="shared" si="0"/>
        <v>9.0001</v>
      </c>
      <c r="H15" t="s">
        <v>119</v>
      </c>
    </row>
    <row r="16" spans="1:8" ht="12.75">
      <c r="A16">
        <v>9</v>
      </c>
      <c r="B16">
        <v>45</v>
      </c>
      <c r="C16" s="68">
        <f t="shared" si="0"/>
        <v>9.0301</v>
      </c>
      <c r="H16" t="s">
        <v>120</v>
      </c>
    </row>
    <row r="17" spans="1:8" ht="12.75">
      <c r="A17">
        <v>9</v>
      </c>
      <c r="B17">
        <v>60</v>
      </c>
      <c r="C17" s="68">
        <f t="shared" si="0"/>
        <v>9.0451</v>
      </c>
      <c r="H17" t="s">
        <v>121</v>
      </c>
    </row>
    <row r="18" spans="1:8" ht="12.75">
      <c r="A18">
        <v>9</v>
      </c>
      <c r="B18">
        <v>75</v>
      </c>
      <c r="C18" s="68">
        <f t="shared" si="0"/>
        <v>9.0601</v>
      </c>
      <c r="H18" t="s">
        <v>122</v>
      </c>
    </row>
    <row r="19" spans="1:8" ht="12.75">
      <c r="A19">
        <v>9</v>
      </c>
      <c r="B19">
        <v>95</v>
      </c>
      <c r="C19" s="68">
        <f t="shared" si="0"/>
        <v>9.075099999999999</v>
      </c>
      <c r="H19" t="s">
        <v>124</v>
      </c>
    </row>
    <row r="20" spans="1:8" ht="12.75">
      <c r="A20">
        <v>9</v>
      </c>
      <c r="B20">
        <v>120</v>
      </c>
      <c r="C20" s="68">
        <f t="shared" si="0"/>
        <v>9.0951</v>
      </c>
      <c r="H20" t="s">
        <v>123</v>
      </c>
    </row>
    <row r="21" spans="1:8" ht="12.75">
      <c r="A21">
        <v>9</v>
      </c>
      <c r="C21" s="68">
        <f t="shared" si="0"/>
        <v>9.120099999999999</v>
      </c>
      <c r="D21" t="s">
        <v>132</v>
      </c>
      <c r="E21" t="s">
        <v>132</v>
      </c>
      <c r="F21" t="s">
        <v>132</v>
      </c>
      <c r="G21" t="s">
        <v>132</v>
      </c>
      <c r="H21" t="s">
        <v>132</v>
      </c>
    </row>
    <row r="22" spans="1:8" ht="12.75">
      <c r="A22" s="69">
        <v>12</v>
      </c>
      <c r="B22">
        <v>0</v>
      </c>
      <c r="C22" s="68">
        <v>12</v>
      </c>
      <c r="H22" t="s">
        <v>119</v>
      </c>
    </row>
    <row r="23" spans="1:8" ht="12.75">
      <c r="A23">
        <v>12</v>
      </c>
      <c r="B23">
        <v>15</v>
      </c>
      <c r="C23" s="68">
        <f t="shared" si="0"/>
        <v>12.0001</v>
      </c>
      <c r="H23" t="s">
        <v>119</v>
      </c>
    </row>
    <row r="24" spans="1:8" ht="12.75">
      <c r="A24">
        <v>12</v>
      </c>
      <c r="B24">
        <v>25</v>
      </c>
      <c r="C24" s="68">
        <f t="shared" si="0"/>
        <v>12.0151</v>
      </c>
      <c r="H24" t="s">
        <v>120</v>
      </c>
    </row>
    <row r="25" spans="1:8" ht="12.75">
      <c r="A25">
        <v>12</v>
      </c>
      <c r="B25">
        <v>30</v>
      </c>
      <c r="C25" s="68">
        <f t="shared" si="0"/>
        <v>12.0251</v>
      </c>
      <c r="H25" t="s">
        <v>121</v>
      </c>
    </row>
    <row r="26" spans="1:8" ht="12.75">
      <c r="A26">
        <v>12</v>
      </c>
      <c r="B26">
        <v>40</v>
      </c>
      <c r="C26" s="68">
        <f t="shared" si="0"/>
        <v>12.0301</v>
      </c>
      <c r="H26" t="s">
        <v>122</v>
      </c>
    </row>
    <row r="27" spans="1:8" ht="12.75">
      <c r="A27">
        <v>12</v>
      </c>
      <c r="B27">
        <v>50</v>
      </c>
      <c r="C27" s="68">
        <f t="shared" si="0"/>
        <v>12.040099999999999</v>
      </c>
      <c r="H27" t="s">
        <v>124</v>
      </c>
    </row>
    <row r="28" spans="1:8" ht="12.75">
      <c r="A28">
        <v>12</v>
      </c>
      <c r="B28">
        <v>70</v>
      </c>
      <c r="C28" s="68">
        <f t="shared" si="0"/>
        <v>12.0501</v>
      </c>
      <c r="H28" t="s">
        <v>123</v>
      </c>
    </row>
    <row r="29" spans="1:8" ht="12.75">
      <c r="A29">
        <v>12</v>
      </c>
      <c r="B29">
        <v>80</v>
      </c>
      <c r="C29" s="68">
        <f t="shared" si="0"/>
        <v>12.0701</v>
      </c>
      <c r="H29" t="s">
        <v>125</v>
      </c>
    </row>
    <row r="30" spans="1:8" ht="12.75">
      <c r="A30">
        <v>12</v>
      </c>
      <c r="B30">
        <v>100</v>
      </c>
      <c r="C30" s="68">
        <f t="shared" si="0"/>
        <v>12.0801</v>
      </c>
      <c r="H30" t="s">
        <v>126</v>
      </c>
    </row>
    <row r="31" spans="1:8" ht="12.75">
      <c r="A31">
        <v>12</v>
      </c>
      <c r="B31">
        <v>110</v>
      </c>
      <c r="C31" s="68">
        <f t="shared" si="0"/>
        <v>12.1001</v>
      </c>
      <c r="H31" t="s">
        <v>127</v>
      </c>
    </row>
    <row r="32" spans="1:8" ht="12.75">
      <c r="A32">
        <v>12</v>
      </c>
      <c r="B32">
        <v>130</v>
      </c>
      <c r="C32" s="68">
        <f t="shared" si="0"/>
        <v>12.1101</v>
      </c>
      <c r="H32" t="s">
        <v>128</v>
      </c>
    </row>
    <row r="33" spans="1:8" ht="12.75">
      <c r="A33">
        <v>12</v>
      </c>
      <c r="B33">
        <v>150</v>
      </c>
      <c r="C33" s="68">
        <f t="shared" si="0"/>
        <v>12.1301</v>
      </c>
      <c r="H33" t="s">
        <v>106</v>
      </c>
    </row>
    <row r="34" spans="1:8" ht="12.75">
      <c r="A34">
        <v>12</v>
      </c>
      <c r="B34">
        <v>170</v>
      </c>
      <c r="C34" s="68">
        <f t="shared" si="0"/>
        <v>12.1501</v>
      </c>
      <c r="H34" t="s">
        <v>129</v>
      </c>
    </row>
    <row r="35" spans="1:8" ht="12.75">
      <c r="A35">
        <v>12</v>
      </c>
      <c r="C35" s="68">
        <f t="shared" si="0"/>
        <v>12.1701</v>
      </c>
      <c r="D35" t="s">
        <v>132</v>
      </c>
      <c r="E35" t="s">
        <v>132</v>
      </c>
      <c r="F35" t="s">
        <v>132</v>
      </c>
      <c r="G35" t="s">
        <v>132</v>
      </c>
      <c r="H35" t="s">
        <v>132</v>
      </c>
    </row>
    <row r="36" spans="1:8" ht="12.75">
      <c r="A36" s="69">
        <v>15</v>
      </c>
      <c r="B36">
        <v>0</v>
      </c>
      <c r="C36" s="68">
        <v>15</v>
      </c>
      <c r="H36" t="s">
        <v>120</v>
      </c>
    </row>
    <row r="37" spans="1:8" ht="12.75">
      <c r="A37">
        <v>15</v>
      </c>
      <c r="B37">
        <v>15</v>
      </c>
      <c r="C37" s="68">
        <f t="shared" si="0"/>
        <v>15.0001</v>
      </c>
      <c r="H37" t="s">
        <v>120</v>
      </c>
    </row>
    <row r="38" spans="1:8" ht="12.75">
      <c r="A38">
        <v>15</v>
      </c>
      <c r="B38">
        <v>25</v>
      </c>
      <c r="C38" s="68">
        <f t="shared" si="0"/>
        <v>15.0151</v>
      </c>
      <c r="H38" t="s">
        <v>121</v>
      </c>
    </row>
    <row r="39" spans="1:8" ht="12.75">
      <c r="A39">
        <v>15</v>
      </c>
      <c r="B39">
        <v>30</v>
      </c>
      <c r="C39" s="68">
        <f t="shared" si="0"/>
        <v>15.0251</v>
      </c>
      <c r="H39" t="s">
        <v>122</v>
      </c>
    </row>
    <row r="40" spans="1:8" ht="12.75">
      <c r="A40">
        <v>15</v>
      </c>
      <c r="B40">
        <v>40</v>
      </c>
      <c r="C40" s="68">
        <f t="shared" si="0"/>
        <v>15.0301</v>
      </c>
      <c r="H40" t="s">
        <v>124</v>
      </c>
    </row>
    <row r="41" spans="1:8" ht="12.75">
      <c r="A41">
        <v>15</v>
      </c>
      <c r="B41">
        <v>50</v>
      </c>
      <c r="C41" s="68">
        <f t="shared" si="0"/>
        <v>15.040099999999999</v>
      </c>
      <c r="H41" t="s">
        <v>123</v>
      </c>
    </row>
    <row r="42" spans="1:8" ht="12.75">
      <c r="A42">
        <v>15</v>
      </c>
      <c r="B42">
        <v>60</v>
      </c>
      <c r="C42" s="68">
        <f t="shared" si="0"/>
        <v>15.0501</v>
      </c>
      <c r="H42" t="s">
        <v>125</v>
      </c>
    </row>
    <row r="43" spans="1:8" ht="12.75">
      <c r="A43">
        <v>15</v>
      </c>
      <c r="B43">
        <v>70</v>
      </c>
      <c r="C43" s="68">
        <f t="shared" si="0"/>
        <v>15.0601</v>
      </c>
      <c r="H43" t="s">
        <v>126</v>
      </c>
    </row>
    <row r="44" spans="1:8" ht="12.75">
      <c r="A44">
        <v>15</v>
      </c>
      <c r="B44">
        <v>80</v>
      </c>
      <c r="C44" s="68">
        <f t="shared" si="0"/>
        <v>15.0701</v>
      </c>
      <c r="H44" t="s">
        <v>127</v>
      </c>
    </row>
    <row r="45" spans="1:8" ht="12.75">
      <c r="A45">
        <v>15</v>
      </c>
      <c r="B45">
        <v>90</v>
      </c>
      <c r="C45" s="68">
        <f t="shared" si="0"/>
        <v>15.0801</v>
      </c>
      <c r="H45" t="s">
        <v>128</v>
      </c>
    </row>
    <row r="46" spans="1:8" ht="12.75">
      <c r="A46">
        <v>15</v>
      </c>
      <c r="B46">
        <v>100</v>
      </c>
      <c r="C46" s="68">
        <f t="shared" si="0"/>
        <v>15.0901</v>
      </c>
      <c r="H46" t="s">
        <v>106</v>
      </c>
    </row>
    <row r="47" spans="1:8" ht="12.75">
      <c r="A47">
        <v>15</v>
      </c>
      <c r="B47">
        <v>110</v>
      </c>
      <c r="C47" s="68">
        <f t="shared" si="0"/>
        <v>15.1001</v>
      </c>
      <c r="G47">
        <v>3</v>
      </c>
      <c r="H47" t="s">
        <v>106</v>
      </c>
    </row>
    <row r="48" spans="1:8" ht="12.75">
      <c r="A48">
        <v>15</v>
      </c>
      <c r="B48">
        <v>120</v>
      </c>
      <c r="C48" s="68">
        <f t="shared" si="0"/>
        <v>15.1101</v>
      </c>
      <c r="G48">
        <v>5</v>
      </c>
      <c r="H48" t="s">
        <v>129</v>
      </c>
    </row>
    <row r="49" spans="1:8" ht="12.75">
      <c r="A49">
        <v>15</v>
      </c>
      <c r="B49">
        <v>140</v>
      </c>
      <c r="C49" s="68">
        <f t="shared" si="0"/>
        <v>15.120099999999999</v>
      </c>
      <c r="G49">
        <v>10</v>
      </c>
      <c r="H49" t="s">
        <v>129</v>
      </c>
    </row>
    <row r="50" spans="1:8" ht="12.75">
      <c r="A50">
        <v>15</v>
      </c>
      <c r="B50">
        <v>160</v>
      </c>
      <c r="C50" s="68">
        <f t="shared" si="0"/>
        <v>15.1401</v>
      </c>
      <c r="G50">
        <v>21</v>
      </c>
      <c r="H50" t="s">
        <v>130</v>
      </c>
    </row>
    <row r="51" spans="1:8" ht="12.75">
      <c r="A51">
        <v>15</v>
      </c>
      <c r="C51" s="68">
        <f t="shared" si="0"/>
        <v>15.1601</v>
      </c>
      <c r="D51" t="s">
        <v>132</v>
      </c>
      <c r="E51" t="s">
        <v>132</v>
      </c>
      <c r="F51" t="s">
        <v>132</v>
      </c>
      <c r="G51" t="s">
        <v>132</v>
      </c>
      <c r="H51" t="s">
        <v>132</v>
      </c>
    </row>
    <row r="52" spans="1:8" ht="12.75">
      <c r="A52" s="69">
        <v>18</v>
      </c>
      <c r="B52">
        <v>0</v>
      </c>
      <c r="C52" s="68">
        <v>18</v>
      </c>
      <c r="H52" t="s">
        <v>120</v>
      </c>
    </row>
    <row r="53" spans="1:8" ht="12.75">
      <c r="A53">
        <v>18</v>
      </c>
      <c r="B53">
        <v>15</v>
      </c>
      <c r="C53" s="68">
        <f t="shared" si="0"/>
        <v>18.0001</v>
      </c>
      <c r="H53" t="s">
        <v>120</v>
      </c>
    </row>
    <row r="54" spans="1:8" ht="12.75">
      <c r="A54">
        <v>18</v>
      </c>
      <c r="B54">
        <v>20</v>
      </c>
      <c r="C54" s="68">
        <f t="shared" si="0"/>
        <v>18.0151</v>
      </c>
      <c r="H54" t="s">
        <v>121</v>
      </c>
    </row>
    <row r="55" spans="1:8" ht="12.75">
      <c r="A55">
        <v>18</v>
      </c>
      <c r="B55">
        <v>25</v>
      </c>
      <c r="C55" s="68">
        <f t="shared" si="0"/>
        <v>18.0201</v>
      </c>
      <c r="H55" t="s">
        <v>122</v>
      </c>
    </row>
    <row r="56" spans="1:8" ht="12.75">
      <c r="A56">
        <v>18</v>
      </c>
      <c r="B56">
        <v>30</v>
      </c>
      <c r="C56" s="68">
        <f t="shared" si="0"/>
        <v>18.0251</v>
      </c>
      <c r="H56" t="s">
        <v>124</v>
      </c>
    </row>
    <row r="57" spans="1:8" ht="12.75">
      <c r="A57">
        <v>18</v>
      </c>
      <c r="B57">
        <v>40</v>
      </c>
      <c r="C57" s="68">
        <f t="shared" si="0"/>
        <v>18.0301</v>
      </c>
      <c r="H57" t="s">
        <v>123</v>
      </c>
    </row>
    <row r="58" spans="1:8" ht="12.75">
      <c r="A58">
        <v>18</v>
      </c>
      <c r="B58">
        <v>50</v>
      </c>
      <c r="C58" s="68">
        <f t="shared" si="0"/>
        <v>18.0401</v>
      </c>
      <c r="H58" t="s">
        <v>125</v>
      </c>
    </row>
    <row r="59" spans="1:8" ht="12.75">
      <c r="A59">
        <v>18</v>
      </c>
      <c r="B59">
        <v>55</v>
      </c>
      <c r="C59" s="68">
        <f t="shared" si="0"/>
        <v>18.0501</v>
      </c>
      <c r="H59" t="s">
        <v>126</v>
      </c>
    </row>
    <row r="60" spans="1:8" ht="12.75">
      <c r="A60">
        <v>18</v>
      </c>
      <c r="B60">
        <v>60</v>
      </c>
      <c r="C60" s="68">
        <f t="shared" si="0"/>
        <v>18.0551</v>
      </c>
      <c r="H60" t="s">
        <v>127</v>
      </c>
    </row>
    <row r="61" spans="1:8" ht="12.75">
      <c r="A61">
        <v>18</v>
      </c>
      <c r="B61">
        <v>70</v>
      </c>
      <c r="C61" s="68">
        <f t="shared" si="0"/>
        <v>18.0601</v>
      </c>
      <c r="G61">
        <v>2</v>
      </c>
      <c r="H61" t="s">
        <v>128</v>
      </c>
    </row>
    <row r="62" spans="1:8" ht="12.75">
      <c r="A62">
        <v>18</v>
      </c>
      <c r="B62">
        <v>80</v>
      </c>
      <c r="C62" s="68">
        <f t="shared" si="0"/>
        <v>18.0701</v>
      </c>
      <c r="G62">
        <v>7</v>
      </c>
      <c r="H62" t="s">
        <v>106</v>
      </c>
    </row>
    <row r="63" spans="1:8" ht="12.75">
      <c r="A63">
        <v>18</v>
      </c>
      <c r="B63">
        <v>100</v>
      </c>
      <c r="C63" s="68">
        <f t="shared" si="0"/>
        <v>18.080099999999998</v>
      </c>
      <c r="G63">
        <v>14</v>
      </c>
      <c r="H63" t="s">
        <v>129</v>
      </c>
    </row>
    <row r="64" spans="1:8" ht="12.75">
      <c r="A64">
        <v>18</v>
      </c>
      <c r="C64" s="68">
        <f t="shared" si="0"/>
        <v>18.1001</v>
      </c>
      <c r="D64" t="s">
        <v>132</v>
      </c>
      <c r="E64" t="s">
        <v>132</v>
      </c>
      <c r="F64" t="s">
        <v>132</v>
      </c>
      <c r="G64" t="s">
        <v>132</v>
      </c>
      <c r="H64" t="s">
        <v>132</v>
      </c>
    </row>
    <row r="65" spans="1:8" ht="12.75">
      <c r="A65" s="69">
        <v>21</v>
      </c>
      <c r="B65">
        <v>0</v>
      </c>
      <c r="C65" s="68">
        <v>21</v>
      </c>
      <c r="H65" t="s">
        <v>120</v>
      </c>
    </row>
    <row r="66" spans="1:8" ht="12.75">
      <c r="A66">
        <v>21</v>
      </c>
      <c r="B66">
        <v>10</v>
      </c>
      <c r="C66" s="68">
        <f t="shared" si="0"/>
        <v>21.0001</v>
      </c>
      <c r="H66" t="s">
        <v>120</v>
      </c>
    </row>
    <row r="67" spans="1:8" ht="12.75">
      <c r="A67">
        <v>21</v>
      </c>
      <c r="B67">
        <v>15</v>
      </c>
      <c r="C67" s="68">
        <f t="shared" si="0"/>
        <v>21.0101</v>
      </c>
      <c r="H67" t="s">
        <v>121</v>
      </c>
    </row>
    <row r="68" spans="1:8" ht="12.75">
      <c r="A68">
        <v>21</v>
      </c>
      <c r="B68">
        <v>20</v>
      </c>
      <c r="C68" s="68">
        <f t="shared" si="0"/>
        <v>21.0151</v>
      </c>
      <c r="H68" t="s">
        <v>122</v>
      </c>
    </row>
    <row r="69" spans="1:8" ht="12.75">
      <c r="A69">
        <v>21</v>
      </c>
      <c r="B69">
        <v>30</v>
      </c>
      <c r="C69" s="68">
        <f t="shared" si="0"/>
        <v>21.0201</v>
      </c>
      <c r="H69" t="s">
        <v>124</v>
      </c>
    </row>
    <row r="70" spans="1:8" ht="12.75">
      <c r="A70">
        <v>21</v>
      </c>
      <c r="B70">
        <v>35</v>
      </c>
      <c r="C70" s="68">
        <f t="shared" si="0"/>
        <v>21.0301</v>
      </c>
      <c r="H70" t="s">
        <v>123</v>
      </c>
    </row>
    <row r="71" spans="1:8" ht="12.75">
      <c r="A71">
        <v>21</v>
      </c>
      <c r="B71">
        <v>40</v>
      </c>
      <c r="C71" s="68">
        <f t="shared" si="0"/>
        <v>21.0351</v>
      </c>
      <c r="H71" t="s">
        <v>125</v>
      </c>
    </row>
    <row r="72" spans="1:8" ht="12.75">
      <c r="A72">
        <v>21</v>
      </c>
      <c r="B72">
        <v>45</v>
      </c>
      <c r="C72" s="68">
        <f t="shared" si="0"/>
        <v>21.0401</v>
      </c>
      <c r="H72" t="s">
        <v>126</v>
      </c>
    </row>
    <row r="73" spans="1:8" ht="12.75">
      <c r="A73">
        <v>21</v>
      </c>
      <c r="B73">
        <v>50</v>
      </c>
      <c r="C73" s="68">
        <f t="shared" si="0"/>
        <v>21.0451</v>
      </c>
      <c r="H73" t="s">
        <v>127</v>
      </c>
    </row>
    <row r="74" spans="1:8" ht="12.75">
      <c r="A74">
        <v>21</v>
      </c>
      <c r="B74">
        <v>60</v>
      </c>
      <c r="C74" s="68">
        <f t="shared" si="0"/>
        <v>21.0501</v>
      </c>
      <c r="G74">
        <v>8</v>
      </c>
      <c r="H74" t="s">
        <v>128</v>
      </c>
    </row>
    <row r="75" spans="1:8" ht="12.75">
      <c r="A75">
        <v>21</v>
      </c>
      <c r="B75">
        <v>70</v>
      </c>
      <c r="C75" s="68">
        <f t="shared" si="0"/>
        <v>21.0601</v>
      </c>
      <c r="G75">
        <v>14</v>
      </c>
      <c r="H75" t="s">
        <v>106</v>
      </c>
    </row>
    <row r="76" spans="1:8" ht="12.75">
      <c r="A76">
        <v>21</v>
      </c>
      <c r="B76">
        <v>80</v>
      </c>
      <c r="C76" s="68">
        <f aca="true" t="shared" si="1" ref="C76:C142">A76+B75/1000+0.0001</f>
        <v>21.0701</v>
      </c>
      <c r="G76">
        <v>18</v>
      </c>
      <c r="H76" t="s">
        <v>129</v>
      </c>
    </row>
    <row r="77" spans="1:8" ht="12.75">
      <c r="A77">
        <v>21</v>
      </c>
      <c r="B77">
        <v>90</v>
      </c>
      <c r="C77" s="68">
        <f t="shared" si="1"/>
        <v>21.080099999999998</v>
      </c>
      <c r="G77">
        <v>23</v>
      </c>
      <c r="H77" t="s">
        <v>130</v>
      </c>
    </row>
    <row r="78" spans="1:8" ht="12.75">
      <c r="A78">
        <v>21</v>
      </c>
      <c r="B78">
        <v>100</v>
      </c>
      <c r="C78" s="68">
        <f t="shared" si="1"/>
        <v>21.0901</v>
      </c>
      <c r="G78">
        <v>33</v>
      </c>
      <c r="H78" t="s">
        <v>130</v>
      </c>
    </row>
    <row r="79" spans="1:8" ht="12.75">
      <c r="A79">
        <v>21</v>
      </c>
      <c r="C79" s="68">
        <f t="shared" si="1"/>
        <v>21.1001</v>
      </c>
      <c r="D79" t="s">
        <v>132</v>
      </c>
      <c r="E79" t="s">
        <v>132</v>
      </c>
      <c r="F79" t="s">
        <v>132</v>
      </c>
      <c r="G79" t="s">
        <v>132</v>
      </c>
      <c r="H79" t="s">
        <v>132</v>
      </c>
    </row>
    <row r="80" spans="1:8" ht="12.75">
      <c r="A80" s="69">
        <v>24</v>
      </c>
      <c r="B80">
        <v>0</v>
      </c>
      <c r="C80" s="68">
        <v>24</v>
      </c>
      <c r="H80" t="s">
        <v>119</v>
      </c>
    </row>
    <row r="81" spans="1:8" ht="12.75">
      <c r="A81">
        <v>24</v>
      </c>
      <c r="B81">
        <v>5</v>
      </c>
      <c r="C81" s="68">
        <f t="shared" si="1"/>
        <v>24.0001</v>
      </c>
      <c r="H81" t="s">
        <v>119</v>
      </c>
    </row>
    <row r="82" spans="1:8" ht="12.75">
      <c r="A82">
        <v>24</v>
      </c>
      <c r="B82">
        <v>10</v>
      </c>
      <c r="C82" s="68">
        <f t="shared" si="1"/>
        <v>24.0051</v>
      </c>
      <c r="H82" t="s">
        <v>120</v>
      </c>
    </row>
    <row r="83" spans="1:8" ht="12.75">
      <c r="A83">
        <v>24</v>
      </c>
      <c r="B83">
        <v>15</v>
      </c>
      <c r="C83" s="68">
        <f t="shared" si="1"/>
        <v>24.0101</v>
      </c>
      <c r="H83" t="s">
        <v>121</v>
      </c>
    </row>
    <row r="84" spans="1:8" ht="12.75">
      <c r="A84">
        <v>24</v>
      </c>
      <c r="B84">
        <v>20</v>
      </c>
      <c r="C84" s="68">
        <f t="shared" si="1"/>
        <v>24.0151</v>
      </c>
      <c r="H84" t="s">
        <v>122</v>
      </c>
    </row>
    <row r="85" spans="1:8" ht="12.75">
      <c r="A85">
        <v>24</v>
      </c>
      <c r="B85">
        <v>25</v>
      </c>
      <c r="C85" s="68">
        <f t="shared" si="1"/>
        <v>24.0201</v>
      </c>
      <c r="H85" t="s">
        <v>124</v>
      </c>
    </row>
    <row r="86" spans="1:8" ht="12.75">
      <c r="A86">
        <v>24</v>
      </c>
      <c r="B86">
        <v>30</v>
      </c>
      <c r="C86" s="68">
        <f t="shared" si="1"/>
        <v>24.0251</v>
      </c>
      <c r="H86" t="s">
        <v>123</v>
      </c>
    </row>
    <row r="87" spans="1:8" ht="12.75">
      <c r="A87">
        <v>24</v>
      </c>
      <c r="B87">
        <v>35</v>
      </c>
      <c r="C87" s="68">
        <f t="shared" si="1"/>
        <v>24.0301</v>
      </c>
      <c r="H87" t="s">
        <v>125</v>
      </c>
    </row>
    <row r="88" spans="1:8" ht="12.75">
      <c r="A88">
        <v>24</v>
      </c>
      <c r="B88">
        <v>40</v>
      </c>
      <c r="C88" s="68">
        <f t="shared" si="1"/>
        <v>24.0351</v>
      </c>
      <c r="H88" t="s">
        <v>126</v>
      </c>
    </row>
    <row r="89" spans="1:8" ht="12.75">
      <c r="A89">
        <v>24</v>
      </c>
      <c r="B89">
        <v>50</v>
      </c>
      <c r="C89" s="68">
        <f t="shared" si="1"/>
        <v>24.0401</v>
      </c>
      <c r="G89">
        <v>10</v>
      </c>
      <c r="H89" t="s">
        <v>128</v>
      </c>
    </row>
    <row r="90" spans="1:8" ht="12.75">
      <c r="A90">
        <v>24</v>
      </c>
      <c r="B90">
        <v>60</v>
      </c>
      <c r="C90" s="68">
        <f t="shared" si="1"/>
        <v>24.0501</v>
      </c>
      <c r="G90">
        <v>17</v>
      </c>
      <c r="H90" t="s">
        <v>106</v>
      </c>
    </row>
    <row r="91" spans="1:8" ht="12.75">
      <c r="A91">
        <v>24</v>
      </c>
      <c r="B91">
        <v>70</v>
      </c>
      <c r="C91" s="68">
        <f t="shared" si="1"/>
        <v>24.0601</v>
      </c>
      <c r="G91">
        <v>23</v>
      </c>
      <c r="H91" t="s">
        <v>129</v>
      </c>
    </row>
    <row r="92" spans="1:8" ht="12.75">
      <c r="A92">
        <v>24</v>
      </c>
      <c r="C92" s="68">
        <f t="shared" si="1"/>
        <v>24.0701</v>
      </c>
      <c r="D92" t="s">
        <v>132</v>
      </c>
      <c r="E92" t="s">
        <v>132</v>
      </c>
      <c r="F92" t="s">
        <v>132</v>
      </c>
      <c r="G92" t="s">
        <v>132</v>
      </c>
      <c r="H92" t="s">
        <v>132</v>
      </c>
    </row>
    <row r="93" spans="1:8" ht="12.75">
      <c r="A93" s="69">
        <v>27</v>
      </c>
      <c r="B93">
        <v>0</v>
      </c>
      <c r="C93" s="68">
        <v>27</v>
      </c>
      <c r="H93" t="s">
        <v>120</v>
      </c>
    </row>
    <row r="94" spans="1:8" ht="12.75">
      <c r="A94">
        <v>27</v>
      </c>
      <c r="B94">
        <v>10</v>
      </c>
      <c r="C94" s="68">
        <f t="shared" si="1"/>
        <v>27.0001</v>
      </c>
      <c r="H94" t="s">
        <v>120</v>
      </c>
    </row>
    <row r="95" spans="1:8" ht="12.75">
      <c r="A95">
        <v>27</v>
      </c>
      <c r="B95">
        <v>15</v>
      </c>
      <c r="C95" s="68">
        <f t="shared" si="1"/>
        <v>27.0101</v>
      </c>
      <c r="H95" t="s">
        <v>122</v>
      </c>
    </row>
    <row r="96" spans="1:8" ht="12.75">
      <c r="A96">
        <v>27</v>
      </c>
      <c r="B96">
        <v>20</v>
      </c>
      <c r="C96" s="68">
        <f t="shared" si="1"/>
        <v>27.0151</v>
      </c>
      <c r="H96" t="s">
        <v>124</v>
      </c>
    </row>
    <row r="97" spans="1:8" ht="12.75">
      <c r="A97">
        <v>27</v>
      </c>
      <c r="B97">
        <v>25</v>
      </c>
      <c r="C97" s="68">
        <f t="shared" si="1"/>
        <v>27.0201</v>
      </c>
      <c r="H97" t="s">
        <v>123</v>
      </c>
    </row>
    <row r="98" spans="1:8" ht="12.75">
      <c r="A98">
        <v>27</v>
      </c>
      <c r="B98">
        <v>30</v>
      </c>
      <c r="C98" s="68">
        <f t="shared" si="1"/>
        <v>27.0251</v>
      </c>
      <c r="H98" t="s">
        <v>125</v>
      </c>
    </row>
    <row r="99" spans="1:8" ht="12.75">
      <c r="A99">
        <v>27</v>
      </c>
      <c r="B99">
        <v>40</v>
      </c>
      <c r="C99" s="68">
        <f t="shared" si="1"/>
        <v>27.0301</v>
      </c>
      <c r="G99">
        <v>7</v>
      </c>
      <c r="H99" t="s">
        <v>127</v>
      </c>
    </row>
    <row r="100" spans="1:8" ht="12.75">
      <c r="A100">
        <v>27</v>
      </c>
      <c r="B100">
        <v>50</v>
      </c>
      <c r="C100" s="68">
        <f t="shared" si="1"/>
        <v>27.0401</v>
      </c>
      <c r="G100">
        <v>18</v>
      </c>
      <c r="H100" t="s">
        <v>106</v>
      </c>
    </row>
    <row r="101" spans="1:8" ht="12.75">
      <c r="A101">
        <v>27</v>
      </c>
      <c r="B101">
        <v>60</v>
      </c>
      <c r="C101" s="68">
        <f t="shared" si="1"/>
        <v>27.0501</v>
      </c>
      <c r="G101">
        <v>25</v>
      </c>
      <c r="H101" t="s">
        <v>129</v>
      </c>
    </row>
    <row r="102" spans="1:8" ht="12.75">
      <c r="A102">
        <v>27</v>
      </c>
      <c r="B102">
        <v>70</v>
      </c>
      <c r="C102" s="68">
        <f t="shared" si="1"/>
        <v>27.0601</v>
      </c>
      <c r="F102">
        <v>7</v>
      </c>
      <c r="G102">
        <v>30</v>
      </c>
      <c r="H102" t="s">
        <v>130</v>
      </c>
    </row>
    <row r="103" spans="1:8" ht="12.75">
      <c r="A103">
        <v>27</v>
      </c>
      <c r="C103" s="68">
        <f t="shared" si="1"/>
        <v>27.0701</v>
      </c>
      <c r="D103" t="s">
        <v>132</v>
      </c>
      <c r="E103" t="s">
        <v>132</v>
      </c>
      <c r="F103" t="s">
        <v>132</v>
      </c>
      <c r="G103" t="s">
        <v>132</v>
      </c>
      <c r="H103" t="s">
        <v>132</v>
      </c>
    </row>
    <row r="104" spans="1:8" ht="12.75">
      <c r="A104" s="69">
        <v>30</v>
      </c>
      <c r="B104">
        <v>0</v>
      </c>
      <c r="C104" s="68">
        <v>30</v>
      </c>
      <c r="H104" t="s">
        <v>121</v>
      </c>
    </row>
    <row r="105" spans="1:8" ht="12.75">
      <c r="A105">
        <v>30</v>
      </c>
      <c r="B105">
        <v>10</v>
      </c>
      <c r="C105" s="68">
        <f t="shared" si="1"/>
        <v>30.0001</v>
      </c>
      <c r="H105" t="s">
        <v>121</v>
      </c>
    </row>
    <row r="106" spans="1:8" ht="12.75">
      <c r="A106">
        <v>30</v>
      </c>
      <c r="B106">
        <v>15</v>
      </c>
      <c r="C106" s="68">
        <f t="shared" si="1"/>
        <v>30.0101</v>
      </c>
      <c r="H106" t="s">
        <v>122</v>
      </c>
    </row>
    <row r="107" spans="1:8" ht="12.75">
      <c r="A107">
        <v>30</v>
      </c>
      <c r="B107">
        <v>20</v>
      </c>
      <c r="C107" s="68">
        <f t="shared" si="1"/>
        <v>30.0151</v>
      </c>
      <c r="H107" t="s">
        <v>124</v>
      </c>
    </row>
    <row r="108" spans="1:8" ht="12.75">
      <c r="A108">
        <v>30</v>
      </c>
      <c r="B108">
        <v>25</v>
      </c>
      <c r="C108" s="68">
        <f t="shared" si="1"/>
        <v>30.0201</v>
      </c>
      <c r="H108" t="s">
        <v>125</v>
      </c>
    </row>
    <row r="109" spans="1:8" ht="12.75">
      <c r="A109">
        <v>30</v>
      </c>
      <c r="B109">
        <v>30</v>
      </c>
      <c r="C109" s="68">
        <f t="shared" si="1"/>
        <v>30.0251</v>
      </c>
      <c r="G109">
        <v>3</v>
      </c>
      <c r="H109" t="s">
        <v>126</v>
      </c>
    </row>
    <row r="110" spans="1:8" ht="12.75">
      <c r="A110">
        <v>30</v>
      </c>
      <c r="B110">
        <v>40</v>
      </c>
      <c r="C110" s="68">
        <f t="shared" si="1"/>
        <v>30.0301</v>
      </c>
      <c r="G110">
        <v>15</v>
      </c>
      <c r="H110" t="s">
        <v>128</v>
      </c>
    </row>
    <row r="111" spans="1:8" ht="12.75">
      <c r="A111">
        <v>30</v>
      </c>
      <c r="B111">
        <v>50</v>
      </c>
      <c r="C111" s="68">
        <f t="shared" si="1"/>
        <v>30.0401</v>
      </c>
      <c r="F111">
        <v>2</v>
      </c>
      <c r="G111">
        <v>24</v>
      </c>
      <c r="H111" t="s">
        <v>106</v>
      </c>
    </row>
    <row r="112" spans="1:8" ht="12.75">
      <c r="A112">
        <v>30</v>
      </c>
      <c r="B112">
        <v>60</v>
      </c>
      <c r="C112" s="68">
        <f t="shared" si="1"/>
        <v>30.0501</v>
      </c>
      <c r="F112">
        <v>9</v>
      </c>
      <c r="G112">
        <v>28</v>
      </c>
      <c r="H112" t="s">
        <v>130</v>
      </c>
    </row>
    <row r="113" spans="1:8" ht="12.75">
      <c r="A113">
        <v>30</v>
      </c>
      <c r="C113" s="68">
        <f t="shared" si="1"/>
        <v>30.0601</v>
      </c>
      <c r="D113" t="s">
        <v>132</v>
      </c>
      <c r="E113" t="s">
        <v>132</v>
      </c>
      <c r="F113" t="s">
        <v>132</v>
      </c>
      <c r="G113" t="s">
        <v>132</v>
      </c>
      <c r="H113" t="s">
        <v>132</v>
      </c>
    </row>
    <row r="114" spans="1:8" ht="12.75">
      <c r="A114" s="69">
        <v>33</v>
      </c>
      <c r="B114">
        <v>0</v>
      </c>
      <c r="C114" s="68">
        <v>33</v>
      </c>
      <c r="H114" t="s">
        <v>121</v>
      </c>
    </row>
    <row r="115" spans="1:8" ht="12.75">
      <c r="A115">
        <v>33</v>
      </c>
      <c r="B115">
        <v>10</v>
      </c>
      <c r="C115" s="68">
        <f t="shared" si="1"/>
        <v>33.0001</v>
      </c>
      <c r="H115" t="s">
        <v>121</v>
      </c>
    </row>
    <row r="116" spans="1:8" ht="12.75">
      <c r="A116">
        <v>33</v>
      </c>
      <c r="B116">
        <v>15</v>
      </c>
      <c r="C116" s="68">
        <f t="shared" si="1"/>
        <v>33.0101</v>
      </c>
      <c r="H116" t="s">
        <v>124</v>
      </c>
    </row>
    <row r="117" spans="1:8" ht="12.75">
      <c r="A117">
        <v>33</v>
      </c>
      <c r="B117">
        <v>20</v>
      </c>
      <c r="C117" s="68">
        <f t="shared" si="1"/>
        <v>33.015100000000004</v>
      </c>
      <c r="H117" t="s">
        <v>123</v>
      </c>
    </row>
    <row r="118" spans="1:8" ht="12.75">
      <c r="A118">
        <v>33</v>
      </c>
      <c r="B118">
        <v>25</v>
      </c>
      <c r="C118" s="68">
        <f t="shared" si="1"/>
        <v>33.020100000000006</v>
      </c>
      <c r="G118">
        <v>3</v>
      </c>
      <c r="H118" t="s">
        <v>125</v>
      </c>
    </row>
    <row r="119" spans="1:8" ht="12.75">
      <c r="A119">
        <v>33</v>
      </c>
      <c r="B119">
        <v>30</v>
      </c>
      <c r="C119" s="68">
        <f t="shared" si="1"/>
        <v>33.0251</v>
      </c>
      <c r="G119">
        <v>7</v>
      </c>
      <c r="H119" t="s">
        <v>127</v>
      </c>
    </row>
    <row r="120" spans="1:8" ht="12.75">
      <c r="A120">
        <v>33</v>
      </c>
      <c r="B120">
        <v>40</v>
      </c>
      <c r="C120" s="68">
        <f t="shared" si="1"/>
        <v>33.030100000000004</v>
      </c>
      <c r="F120">
        <v>2</v>
      </c>
      <c r="G120">
        <v>21</v>
      </c>
      <c r="H120" t="s">
        <v>106</v>
      </c>
    </row>
    <row r="121" spans="1:8" ht="12.75">
      <c r="A121">
        <v>33</v>
      </c>
      <c r="B121">
        <v>50</v>
      </c>
      <c r="C121" s="68">
        <f t="shared" si="1"/>
        <v>33.0401</v>
      </c>
      <c r="F121">
        <v>8</v>
      </c>
      <c r="G121">
        <v>26</v>
      </c>
      <c r="H121" t="s">
        <v>129</v>
      </c>
    </row>
    <row r="122" spans="1:8" ht="12.75">
      <c r="A122">
        <v>33</v>
      </c>
      <c r="B122">
        <v>60</v>
      </c>
      <c r="C122" s="68">
        <f t="shared" si="1"/>
        <v>33.0501</v>
      </c>
      <c r="F122">
        <v>18</v>
      </c>
      <c r="G122">
        <v>36</v>
      </c>
      <c r="H122" t="s">
        <v>130</v>
      </c>
    </row>
    <row r="123" spans="1:8" ht="12.75">
      <c r="A123">
        <v>33</v>
      </c>
      <c r="C123" s="68">
        <f t="shared" si="1"/>
        <v>33.060100000000006</v>
      </c>
      <c r="D123" t="s">
        <v>132</v>
      </c>
      <c r="E123" t="s">
        <v>132</v>
      </c>
      <c r="F123" t="s">
        <v>132</v>
      </c>
      <c r="G123" t="s">
        <v>132</v>
      </c>
      <c r="H123" t="s">
        <v>132</v>
      </c>
    </row>
    <row r="124" spans="1:8" ht="12.75">
      <c r="A124" s="69">
        <v>36</v>
      </c>
      <c r="B124">
        <v>0</v>
      </c>
      <c r="C124" s="68">
        <v>36</v>
      </c>
      <c r="H124" t="s">
        <v>120</v>
      </c>
    </row>
    <row r="125" spans="1:8" ht="12.75">
      <c r="A125">
        <v>36</v>
      </c>
      <c r="B125">
        <v>5</v>
      </c>
      <c r="C125" s="68">
        <f t="shared" si="1"/>
        <v>36.0001</v>
      </c>
      <c r="H125" t="s">
        <v>120</v>
      </c>
    </row>
    <row r="126" spans="1:8" ht="12.75">
      <c r="A126">
        <v>36</v>
      </c>
      <c r="B126">
        <v>10</v>
      </c>
      <c r="C126" s="68">
        <f t="shared" si="1"/>
        <v>36.005100000000006</v>
      </c>
      <c r="H126" t="s">
        <v>121</v>
      </c>
    </row>
    <row r="127" spans="1:8" ht="12.75">
      <c r="A127">
        <v>36</v>
      </c>
      <c r="B127">
        <v>15</v>
      </c>
      <c r="C127" s="68">
        <f t="shared" si="1"/>
        <v>36.0101</v>
      </c>
      <c r="H127" t="s">
        <v>124</v>
      </c>
    </row>
    <row r="128" spans="1:8" ht="12.75">
      <c r="A128">
        <v>36</v>
      </c>
      <c r="B128">
        <v>20</v>
      </c>
      <c r="C128" s="68">
        <f t="shared" si="1"/>
        <v>36.015100000000004</v>
      </c>
      <c r="G128">
        <v>2</v>
      </c>
      <c r="H128" t="s">
        <v>125</v>
      </c>
    </row>
    <row r="129" spans="1:8" ht="12.75">
      <c r="A129">
        <v>36</v>
      </c>
      <c r="B129">
        <v>25</v>
      </c>
      <c r="C129" s="68">
        <f t="shared" si="1"/>
        <v>36.020100000000006</v>
      </c>
      <c r="G129">
        <v>6</v>
      </c>
      <c r="H129" t="s">
        <v>126</v>
      </c>
    </row>
    <row r="130" spans="1:8" ht="12.75">
      <c r="A130">
        <v>36</v>
      </c>
      <c r="B130">
        <v>30</v>
      </c>
      <c r="C130" s="68">
        <f t="shared" si="1"/>
        <v>36.0251</v>
      </c>
      <c r="G130">
        <v>14</v>
      </c>
      <c r="H130" t="s">
        <v>127</v>
      </c>
    </row>
    <row r="131" spans="1:8" ht="12.75">
      <c r="A131">
        <v>36</v>
      </c>
      <c r="B131">
        <v>40</v>
      </c>
      <c r="C131" s="68">
        <f t="shared" si="1"/>
        <v>36.030100000000004</v>
      </c>
      <c r="F131">
        <v>5</v>
      </c>
      <c r="G131">
        <v>25</v>
      </c>
      <c r="H131" t="s">
        <v>106</v>
      </c>
    </row>
    <row r="132" spans="1:8" ht="12.75">
      <c r="A132">
        <v>36</v>
      </c>
      <c r="B132">
        <v>50</v>
      </c>
      <c r="C132" s="68">
        <f t="shared" si="1"/>
        <v>36.0401</v>
      </c>
      <c r="F132">
        <v>15</v>
      </c>
      <c r="G132">
        <v>31</v>
      </c>
      <c r="H132" t="s">
        <v>130</v>
      </c>
    </row>
    <row r="133" spans="1:8" ht="12.75">
      <c r="A133">
        <v>36</v>
      </c>
      <c r="C133" s="68">
        <f t="shared" si="1"/>
        <v>36.0501</v>
      </c>
      <c r="D133" t="s">
        <v>132</v>
      </c>
      <c r="E133" t="s">
        <v>132</v>
      </c>
      <c r="F133" t="s">
        <v>132</v>
      </c>
      <c r="G133" t="s">
        <v>132</v>
      </c>
      <c r="H133" t="s">
        <v>132</v>
      </c>
    </row>
    <row r="134" spans="1:8" ht="12.75">
      <c r="A134" s="69">
        <v>39</v>
      </c>
      <c r="B134">
        <v>0</v>
      </c>
      <c r="C134" s="68">
        <v>39</v>
      </c>
      <c r="H134" t="s">
        <v>120</v>
      </c>
    </row>
    <row r="135" spans="1:8" ht="12.75">
      <c r="A135">
        <v>39</v>
      </c>
      <c r="B135">
        <v>5</v>
      </c>
      <c r="C135" s="68">
        <f t="shared" si="1"/>
        <v>39.0001</v>
      </c>
      <c r="H135" t="s">
        <v>120</v>
      </c>
    </row>
    <row r="136" spans="1:8" ht="12.75">
      <c r="A136">
        <v>39</v>
      </c>
      <c r="B136">
        <v>10</v>
      </c>
      <c r="C136" s="68">
        <f t="shared" si="1"/>
        <v>39.005100000000006</v>
      </c>
      <c r="H136" t="s">
        <v>122</v>
      </c>
    </row>
    <row r="137" spans="1:8" ht="12.75">
      <c r="A137">
        <v>39</v>
      </c>
      <c r="B137">
        <v>15</v>
      </c>
      <c r="C137" s="68">
        <f t="shared" si="1"/>
        <v>39.0101</v>
      </c>
      <c r="G137">
        <v>1</v>
      </c>
      <c r="H137" t="s">
        <v>124</v>
      </c>
    </row>
    <row r="138" spans="1:8" ht="12.75">
      <c r="A138">
        <v>39</v>
      </c>
      <c r="B138">
        <v>20</v>
      </c>
      <c r="C138" s="68">
        <f t="shared" si="1"/>
        <v>39.015100000000004</v>
      </c>
      <c r="G138">
        <v>4</v>
      </c>
      <c r="H138" t="s">
        <v>125</v>
      </c>
    </row>
    <row r="139" spans="1:8" ht="12.75">
      <c r="A139">
        <v>39</v>
      </c>
      <c r="B139">
        <v>25</v>
      </c>
      <c r="C139" s="68">
        <f t="shared" si="1"/>
        <v>39.020100000000006</v>
      </c>
      <c r="G139">
        <v>10</v>
      </c>
      <c r="H139" t="s">
        <v>127</v>
      </c>
    </row>
    <row r="140" spans="1:8" ht="12.75">
      <c r="A140">
        <v>39</v>
      </c>
      <c r="B140">
        <v>30</v>
      </c>
      <c r="C140" s="68">
        <f t="shared" si="1"/>
        <v>39.0251</v>
      </c>
      <c r="F140">
        <v>3</v>
      </c>
      <c r="G140">
        <v>18</v>
      </c>
      <c r="H140" t="s">
        <v>129</v>
      </c>
    </row>
    <row r="141" spans="1:8" ht="12.75">
      <c r="A141">
        <v>39</v>
      </c>
      <c r="B141">
        <v>40</v>
      </c>
      <c r="C141" s="68">
        <f t="shared" si="1"/>
        <v>39.030100000000004</v>
      </c>
      <c r="F141">
        <v>10</v>
      </c>
      <c r="G141">
        <v>25</v>
      </c>
      <c r="H141" t="s">
        <v>130</v>
      </c>
    </row>
    <row r="142" spans="1:8" ht="12.75">
      <c r="A142">
        <v>39</v>
      </c>
      <c r="C142" s="68">
        <f t="shared" si="1"/>
        <v>39.0401</v>
      </c>
      <c r="D142" t="s">
        <v>132</v>
      </c>
      <c r="E142" t="s">
        <v>132</v>
      </c>
      <c r="F142" t="s">
        <v>132</v>
      </c>
      <c r="G142" t="s">
        <v>132</v>
      </c>
      <c r="H142" t="s">
        <v>132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L39"/>
  <sheetViews>
    <sheetView tabSelected="1" workbookViewId="0" topLeftCell="B16">
      <selection activeCell="D39" sqref="D39"/>
    </sheetView>
  </sheetViews>
  <sheetFormatPr defaultColWidth="9.140625" defaultRowHeight="12.75"/>
  <cols>
    <col min="2" max="2" width="9.140625" style="21" customWidth="1"/>
    <col min="3" max="3" width="5.57421875" style="21" customWidth="1"/>
    <col min="4" max="4" width="5.421875" style="21" customWidth="1"/>
    <col min="5" max="16" width="4.8515625" style="21" customWidth="1"/>
    <col min="17" max="17" width="5.57421875" style="21" bestFit="1" customWidth="1"/>
    <col min="18" max="19" width="5.57421875" style="21" customWidth="1"/>
    <col min="21" max="22" width="6.00390625" style="0" customWidth="1"/>
    <col min="23" max="23" width="8.57421875" style="0" bestFit="1" customWidth="1"/>
    <col min="24" max="36" width="5.28125" style="0" customWidth="1"/>
  </cols>
  <sheetData>
    <row r="3" spans="23:36" ht="12.75">
      <c r="W3">
        <v>2</v>
      </c>
      <c r="X3">
        <v>3</v>
      </c>
      <c r="Y3">
        <v>4</v>
      </c>
      <c r="Z3">
        <v>5</v>
      </c>
      <c r="AA3">
        <v>6</v>
      </c>
      <c r="AB3">
        <v>7</v>
      </c>
      <c r="AC3">
        <v>8</v>
      </c>
      <c r="AD3">
        <v>9</v>
      </c>
      <c r="AE3">
        <v>10</v>
      </c>
      <c r="AF3">
        <v>11</v>
      </c>
      <c r="AG3">
        <v>12</v>
      </c>
      <c r="AH3">
        <v>13</v>
      </c>
      <c r="AI3">
        <v>14</v>
      </c>
      <c r="AJ3">
        <v>15</v>
      </c>
    </row>
    <row r="4" spans="2:38" ht="12.75">
      <c r="B4" s="112" t="s">
        <v>118</v>
      </c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>
        <v>0.1</v>
      </c>
      <c r="Q4" s="113">
        <v>12</v>
      </c>
      <c r="R4" s="114"/>
      <c r="S4" s="114"/>
      <c r="U4" s="21" t="s">
        <v>118</v>
      </c>
      <c r="V4" s="21"/>
      <c r="W4" s="115">
        <f aca="true" t="shared" si="0" ref="W4:AJ17">TRUNC(D4,0)*60+((D4-TRUNC(D4,0))*100)</f>
        <v>0</v>
      </c>
      <c r="X4" s="115">
        <f t="shared" si="0"/>
        <v>0</v>
      </c>
      <c r="Y4" s="115">
        <f t="shared" si="0"/>
        <v>0</v>
      </c>
      <c r="Z4" s="115">
        <f t="shared" si="0"/>
        <v>0</v>
      </c>
      <c r="AA4" s="115">
        <f t="shared" si="0"/>
        <v>0</v>
      </c>
      <c r="AB4" s="115">
        <f t="shared" si="0"/>
        <v>0</v>
      </c>
      <c r="AC4" s="115">
        <f t="shared" si="0"/>
        <v>0</v>
      </c>
      <c r="AD4" s="115">
        <f t="shared" si="0"/>
        <v>0</v>
      </c>
      <c r="AE4" s="115">
        <f t="shared" si="0"/>
        <v>0</v>
      </c>
      <c r="AF4" s="115">
        <f t="shared" si="0"/>
        <v>0</v>
      </c>
      <c r="AG4" s="115">
        <f t="shared" si="0"/>
        <v>0</v>
      </c>
      <c r="AH4" s="115">
        <f t="shared" si="0"/>
        <v>0</v>
      </c>
      <c r="AI4" s="115">
        <f t="shared" si="0"/>
        <v>10</v>
      </c>
      <c r="AJ4" s="115">
        <f>TRUNC(Q4,0)*60+((Q4-TRUNC(Q4,0))*100)</f>
        <v>720</v>
      </c>
      <c r="AL4" s="115"/>
    </row>
    <row r="5" spans="2:36" ht="12.75">
      <c r="B5" s="112" t="s">
        <v>119</v>
      </c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>
        <v>0.1</v>
      </c>
      <c r="P5" s="113">
        <v>3.21</v>
      </c>
      <c r="Q5" s="113">
        <v>12</v>
      </c>
      <c r="R5" s="114"/>
      <c r="S5" s="114"/>
      <c r="U5" s="21" t="s">
        <v>119</v>
      </c>
      <c r="V5" s="21"/>
      <c r="W5" s="115">
        <f t="shared" si="0"/>
        <v>0</v>
      </c>
      <c r="X5" s="115">
        <f t="shared" si="0"/>
        <v>0</v>
      </c>
      <c r="Y5" s="115">
        <f t="shared" si="0"/>
        <v>0</v>
      </c>
      <c r="Z5" s="115">
        <f t="shared" si="0"/>
        <v>0</v>
      </c>
      <c r="AA5" s="115">
        <f t="shared" si="0"/>
        <v>0</v>
      </c>
      <c r="AB5" s="115">
        <f t="shared" si="0"/>
        <v>0</v>
      </c>
      <c r="AC5" s="115">
        <f t="shared" si="0"/>
        <v>0</v>
      </c>
      <c r="AD5" s="115">
        <f t="shared" si="0"/>
        <v>0</v>
      </c>
      <c r="AE5" s="115">
        <f t="shared" si="0"/>
        <v>0</v>
      </c>
      <c r="AF5" s="115">
        <f t="shared" si="0"/>
        <v>0</v>
      </c>
      <c r="AG5" s="115">
        <f t="shared" si="0"/>
        <v>0</v>
      </c>
      <c r="AH5" s="115">
        <f t="shared" si="0"/>
        <v>10</v>
      </c>
      <c r="AI5" s="115">
        <f t="shared" si="0"/>
        <v>201</v>
      </c>
      <c r="AJ5" s="115">
        <f t="shared" si="0"/>
        <v>720</v>
      </c>
    </row>
    <row r="6" spans="2:36" ht="12.75">
      <c r="B6" s="112" t="s">
        <v>120</v>
      </c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>
        <v>0.1</v>
      </c>
      <c r="O6" s="113">
        <v>1.4</v>
      </c>
      <c r="P6" s="113">
        <v>4.5</v>
      </c>
      <c r="Q6" s="113">
        <v>12</v>
      </c>
      <c r="R6" s="114"/>
      <c r="S6" s="114"/>
      <c r="U6" s="21" t="s">
        <v>120</v>
      </c>
      <c r="V6" s="21"/>
      <c r="W6" s="115">
        <f t="shared" si="0"/>
        <v>0</v>
      </c>
      <c r="X6" s="115">
        <f t="shared" si="0"/>
        <v>0</v>
      </c>
      <c r="Y6" s="115">
        <f t="shared" si="0"/>
        <v>0</v>
      </c>
      <c r="Z6" s="115">
        <f t="shared" si="0"/>
        <v>0</v>
      </c>
      <c r="AA6" s="115">
        <f t="shared" si="0"/>
        <v>0</v>
      </c>
      <c r="AB6" s="115">
        <f t="shared" si="0"/>
        <v>0</v>
      </c>
      <c r="AC6" s="115">
        <f t="shared" si="0"/>
        <v>0</v>
      </c>
      <c r="AD6" s="115">
        <f t="shared" si="0"/>
        <v>0</v>
      </c>
      <c r="AE6" s="115">
        <f t="shared" si="0"/>
        <v>0</v>
      </c>
      <c r="AF6" s="115">
        <f t="shared" si="0"/>
        <v>0</v>
      </c>
      <c r="AG6" s="115">
        <f t="shared" si="0"/>
        <v>10</v>
      </c>
      <c r="AH6" s="115">
        <f t="shared" si="0"/>
        <v>100</v>
      </c>
      <c r="AI6" s="115">
        <f t="shared" si="0"/>
        <v>290</v>
      </c>
      <c r="AJ6" s="115">
        <f t="shared" si="0"/>
        <v>720</v>
      </c>
    </row>
    <row r="7" spans="2:36" ht="12.75">
      <c r="B7" s="112" t="s">
        <v>121</v>
      </c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>
        <v>0.1</v>
      </c>
      <c r="N7" s="113">
        <v>1.1</v>
      </c>
      <c r="O7" s="113">
        <v>2.39</v>
      </c>
      <c r="P7" s="113">
        <v>5.49</v>
      </c>
      <c r="Q7" s="113">
        <v>12</v>
      </c>
      <c r="R7" s="114"/>
      <c r="S7" s="114"/>
      <c r="U7" s="21" t="s">
        <v>121</v>
      </c>
      <c r="V7" s="21"/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5">
        <f t="shared" si="0"/>
        <v>0</v>
      </c>
      <c r="AE7" s="115">
        <f t="shared" si="0"/>
        <v>0</v>
      </c>
      <c r="AF7" s="115">
        <f t="shared" si="0"/>
        <v>10</v>
      </c>
      <c r="AG7" s="115">
        <f t="shared" si="0"/>
        <v>70.00000000000001</v>
      </c>
      <c r="AH7" s="115">
        <f t="shared" si="0"/>
        <v>159</v>
      </c>
      <c r="AI7" s="115">
        <f t="shared" si="0"/>
        <v>349</v>
      </c>
      <c r="AJ7" s="115">
        <f t="shared" si="0"/>
        <v>720</v>
      </c>
    </row>
    <row r="8" spans="2:36" ht="12.75">
      <c r="B8" s="112" t="s">
        <v>122</v>
      </c>
      <c r="C8" s="112"/>
      <c r="D8" s="113"/>
      <c r="E8" s="113"/>
      <c r="F8" s="113"/>
      <c r="G8" s="113"/>
      <c r="H8" s="113"/>
      <c r="I8" s="113"/>
      <c r="J8" s="113"/>
      <c r="K8" s="113"/>
      <c r="L8" s="113">
        <v>0.1</v>
      </c>
      <c r="M8" s="113">
        <v>0.55</v>
      </c>
      <c r="N8" s="113">
        <v>1.58</v>
      </c>
      <c r="O8" s="113">
        <v>3.25</v>
      </c>
      <c r="P8" s="113">
        <v>6.35</v>
      </c>
      <c r="Q8" s="113">
        <v>12</v>
      </c>
      <c r="R8" s="114"/>
      <c r="S8" s="114"/>
      <c r="U8" s="21" t="s">
        <v>122</v>
      </c>
      <c r="V8" s="21"/>
      <c r="W8" s="115">
        <f t="shared" si="0"/>
        <v>0</v>
      </c>
      <c r="X8" s="115">
        <f t="shared" si="0"/>
        <v>0</v>
      </c>
      <c r="Y8" s="115">
        <f t="shared" si="0"/>
        <v>0</v>
      </c>
      <c r="Z8" s="115">
        <f t="shared" si="0"/>
        <v>0</v>
      </c>
      <c r="AA8" s="115">
        <f t="shared" si="0"/>
        <v>0</v>
      </c>
      <c r="AB8" s="115">
        <f t="shared" si="0"/>
        <v>0</v>
      </c>
      <c r="AC8" s="115">
        <f t="shared" si="0"/>
        <v>0</v>
      </c>
      <c r="AD8" s="115">
        <f t="shared" si="0"/>
        <v>0</v>
      </c>
      <c r="AE8" s="115">
        <f t="shared" si="0"/>
        <v>10</v>
      </c>
      <c r="AF8" s="115">
        <f t="shared" si="0"/>
        <v>55.00000000000001</v>
      </c>
      <c r="AG8" s="115">
        <f t="shared" si="0"/>
        <v>118</v>
      </c>
      <c r="AH8" s="115">
        <f t="shared" si="0"/>
        <v>205</v>
      </c>
      <c r="AI8" s="115">
        <f t="shared" si="0"/>
        <v>394.99999999999994</v>
      </c>
      <c r="AJ8" s="115">
        <f t="shared" si="0"/>
        <v>720</v>
      </c>
    </row>
    <row r="9" spans="2:36" ht="12.75">
      <c r="B9" s="112" t="s">
        <v>124</v>
      </c>
      <c r="C9" s="112"/>
      <c r="D9" s="113"/>
      <c r="E9" s="113"/>
      <c r="F9" s="113"/>
      <c r="G9" s="113"/>
      <c r="H9" s="113"/>
      <c r="I9" s="113"/>
      <c r="J9" s="113"/>
      <c r="K9" s="113">
        <v>0.1</v>
      </c>
      <c r="L9" s="113">
        <v>0.46</v>
      </c>
      <c r="M9" s="113">
        <v>1.3</v>
      </c>
      <c r="N9" s="113">
        <v>2.29</v>
      </c>
      <c r="O9" s="113">
        <v>3.58</v>
      </c>
      <c r="P9" s="113">
        <v>7.06</v>
      </c>
      <c r="Q9" s="113">
        <v>12</v>
      </c>
      <c r="R9" s="114"/>
      <c r="S9" s="114"/>
      <c r="U9" s="21" t="s">
        <v>124</v>
      </c>
      <c r="V9" s="21"/>
      <c r="W9" s="115">
        <f t="shared" si="0"/>
        <v>0</v>
      </c>
      <c r="X9" s="115">
        <f t="shared" si="0"/>
        <v>0</v>
      </c>
      <c r="Y9" s="115">
        <f t="shared" si="0"/>
        <v>0</v>
      </c>
      <c r="Z9" s="115">
        <f t="shared" si="0"/>
        <v>0</v>
      </c>
      <c r="AA9" s="115">
        <f t="shared" si="0"/>
        <v>0</v>
      </c>
      <c r="AB9" s="115">
        <f t="shared" si="0"/>
        <v>0</v>
      </c>
      <c r="AC9" s="115">
        <f t="shared" si="0"/>
        <v>0</v>
      </c>
      <c r="AD9" s="115">
        <f t="shared" si="0"/>
        <v>10</v>
      </c>
      <c r="AE9" s="115">
        <f t="shared" si="0"/>
        <v>46</v>
      </c>
      <c r="AF9" s="115">
        <f t="shared" si="0"/>
        <v>90</v>
      </c>
      <c r="AG9" s="115">
        <f t="shared" si="0"/>
        <v>149</v>
      </c>
      <c r="AH9" s="115">
        <f t="shared" si="0"/>
        <v>238</v>
      </c>
      <c r="AI9" s="115">
        <f t="shared" si="0"/>
        <v>425.99999999999994</v>
      </c>
      <c r="AJ9" s="115">
        <f t="shared" si="0"/>
        <v>720</v>
      </c>
    </row>
    <row r="10" spans="2:36" ht="12.75">
      <c r="B10" s="112" t="s">
        <v>123</v>
      </c>
      <c r="C10" s="112"/>
      <c r="D10" s="113"/>
      <c r="E10" s="113"/>
      <c r="F10" s="113"/>
      <c r="G10" s="113"/>
      <c r="H10" s="113"/>
      <c r="I10" s="113"/>
      <c r="J10" s="113">
        <v>0.1</v>
      </c>
      <c r="K10" s="113">
        <v>0.41</v>
      </c>
      <c r="L10" s="113">
        <v>1.16</v>
      </c>
      <c r="M10" s="113">
        <v>2</v>
      </c>
      <c r="N10" s="113">
        <v>2.59</v>
      </c>
      <c r="O10" s="113">
        <v>4.26</v>
      </c>
      <c r="P10" s="113">
        <v>7.36</v>
      </c>
      <c r="Q10" s="113">
        <v>12</v>
      </c>
      <c r="R10" s="114"/>
      <c r="S10" s="114"/>
      <c r="U10" s="21" t="s">
        <v>123</v>
      </c>
      <c r="V10" s="21"/>
      <c r="W10" s="115">
        <f t="shared" si="0"/>
        <v>0</v>
      </c>
      <c r="X10" s="115">
        <f t="shared" si="0"/>
        <v>0</v>
      </c>
      <c r="Y10" s="115">
        <f t="shared" si="0"/>
        <v>0</v>
      </c>
      <c r="Z10" s="115">
        <f t="shared" si="0"/>
        <v>0</v>
      </c>
      <c r="AA10" s="115">
        <f t="shared" si="0"/>
        <v>0</v>
      </c>
      <c r="AB10" s="115">
        <f t="shared" si="0"/>
        <v>0</v>
      </c>
      <c r="AC10" s="115">
        <f t="shared" si="0"/>
        <v>10</v>
      </c>
      <c r="AD10" s="115">
        <f t="shared" si="0"/>
        <v>41</v>
      </c>
      <c r="AE10" s="115">
        <f t="shared" si="0"/>
        <v>76</v>
      </c>
      <c r="AF10" s="115">
        <f t="shared" si="0"/>
        <v>120</v>
      </c>
      <c r="AG10" s="115">
        <f t="shared" si="0"/>
        <v>179</v>
      </c>
      <c r="AH10" s="115">
        <f t="shared" si="0"/>
        <v>266</v>
      </c>
      <c r="AI10" s="115">
        <f t="shared" si="0"/>
        <v>456</v>
      </c>
      <c r="AJ10" s="115">
        <f t="shared" si="0"/>
        <v>720</v>
      </c>
    </row>
    <row r="11" spans="2:36" ht="12.75">
      <c r="B11" s="112" t="s">
        <v>125</v>
      </c>
      <c r="C11" s="112"/>
      <c r="D11" s="113"/>
      <c r="E11" s="113"/>
      <c r="F11" s="113"/>
      <c r="G11" s="113"/>
      <c r="H11" s="113"/>
      <c r="I11" s="113">
        <v>0.1</v>
      </c>
      <c r="J11" s="113">
        <v>0.37</v>
      </c>
      <c r="K11" s="113">
        <v>1.07</v>
      </c>
      <c r="L11" s="113">
        <v>1.42</v>
      </c>
      <c r="M11" s="113">
        <v>2.24</v>
      </c>
      <c r="N11" s="113">
        <v>3.21</v>
      </c>
      <c r="O11" s="113">
        <v>4.5</v>
      </c>
      <c r="P11" s="113">
        <v>8</v>
      </c>
      <c r="Q11" s="113">
        <v>12</v>
      </c>
      <c r="R11" s="114"/>
      <c r="S11" s="114"/>
      <c r="U11" s="21" t="s">
        <v>125</v>
      </c>
      <c r="V11" s="21"/>
      <c r="W11" s="115">
        <f t="shared" si="0"/>
        <v>0</v>
      </c>
      <c r="X11" s="115">
        <f t="shared" si="0"/>
        <v>0</v>
      </c>
      <c r="Y11" s="115">
        <f t="shared" si="0"/>
        <v>0</v>
      </c>
      <c r="Z11" s="115">
        <f t="shared" si="0"/>
        <v>0</v>
      </c>
      <c r="AA11" s="115">
        <f t="shared" si="0"/>
        <v>0</v>
      </c>
      <c r="AB11" s="115">
        <f t="shared" si="0"/>
        <v>10</v>
      </c>
      <c r="AC11" s="115">
        <f t="shared" si="0"/>
        <v>37</v>
      </c>
      <c r="AD11" s="115">
        <f t="shared" si="0"/>
        <v>67</v>
      </c>
      <c r="AE11" s="115">
        <f t="shared" si="0"/>
        <v>102</v>
      </c>
      <c r="AF11" s="115">
        <f t="shared" si="0"/>
        <v>144.00000000000003</v>
      </c>
      <c r="AG11" s="115">
        <f t="shared" si="0"/>
        <v>201</v>
      </c>
      <c r="AH11" s="115">
        <f t="shared" si="0"/>
        <v>290</v>
      </c>
      <c r="AI11" s="115">
        <f t="shared" si="0"/>
        <v>480</v>
      </c>
      <c r="AJ11" s="115">
        <f t="shared" si="0"/>
        <v>720</v>
      </c>
    </row>
    <row r="12" spans="2:36" ht="12.75">
      <c r="B12" s="112" t="s">
        <v>126</v>
      </c>
      <c r="C12" s="112"/>
      <c r="D12" s="113"/>
      <c r="E12" s="113"/>
      <c r="F12" s="113"/>
      <c r="G12" s="113"/>
      <c r="H12" s="113">
        <v>0.1</v>
      </c>
      <c r="I12" s="113">
        <v>0.34</v>
      </c>
      <c r="J12" s="113">
        <v>1</v>
      </c>
      <c r="K12" s="113">
        <v>1.3</v>
      </c>
      <c r="L12" s="113">
        <v>2.03</v>
      </c>
      <c r="M12" s="113">
        <v>2.45</v>
      </c>
      <c r="N12" s="113">
        <v>3.44</v>
      </c>
      <c r="O12" s="113">
        <v>5.13</v>
      </c>
      <c r="P12" s="113">
        <v>8.22</v>
      </c>
      <c r="Q12" s="113">
        <v>12</v>
      </c>
      <c r="R12" s="114"/>
      <c r="S12" s="114"/>
      <c r="U12" s="21" t="s">
        <v>126</v>
      </c>
      <c r="V12" s="21"/>
      <c r="W12" s="115">
        <f t="shared" si="0"/>
        <v>0</v>
      </c>
      <c r="X12" s="115">
        <f t="shared" si="0"/>
        <v>0</v>
      </c>
      <c r="Y12" s="115">
        <f t="shared" si="0"/>
        <v>0</v>
      </c>
      <c r="Z12" s="115">
        <f t="shared" si="0"/>
        <v>0</v>
      </c>
      <c r="AA12" s="115">
        <f t="shared" si="0"/>
        <v>10</v>
      </c>
      <c r="AB12" s="115">
        <f t="shared" si="0"/>
        <v>34</v>
      </c>
      <c r="AC12" s="115">
        <f t="shared" si="0"/>
        <v>60</v>
      </c>
      <c r="AD12" s="115">
        <f t="shared" si="0"/>
        <v>90</v>
      </c>
      <c r="AE12" s="115">
        <f t="shared" si="0"/>
        <v>122.99999999999999</v>
      </c>
      <c r="AF12" s="115">
        <f t="shared" si="0"/>
        <v>165</v>
      </c>
      <c r="AG12" s="115">
        <f t="shared" si="0"/>
        <v>224</v>
      </c>
      <c r="AH12" s="115">
        <f t="shared" si="0"/>
        <v>313</v>
      </c>
      <c r="AI12" s="115">
        <f t="shared" si="0"/>
        <v>502.00000000000006</v>
      </c>
      <c r="AJ12" s="115">
        <f t="shared" si="0"/>
        <v>720</v>
      </c>
    </row>
    <row r="13" spans="2:36" ht="12.75">
      <c r="B13" s="112" t="s">
        <v>127</v>
      </c>
      <c r="C13" s="112"/>
      <c r="D13" s="113"/>
      <c r="E13" s="113"/>
      <c r="F13" s="113"/>
      <c r="G13" s="113">
        <v>0.1</v>
      </c>
      <c r="H13" s="113">
        <v>0.32</v>
      </c>
      <c r="I13" s="113">
        <v>0.55</v>
      </c>
      <c r="J13" s="113">
        <v>1.2</v>
      </c>
      <c r="K13" s="113">
        <v>1.48</v>
      </c>
      <c r="L13" s="113">
        <v>2.21</v>
      </c>
      <c r="M13" s="113">
        <v>3.05</v>
      </c>
      <c r="N13" s="113">
        <v>4.03</v>
      </c>
      <c r="O13" s="113">
        <v>5.41</v>
      </c>
      <c r="P13" s="113">
        <v>8.51</v>
      </c>
      <c r="Q13" s="113">
        <v>12</v>
      </c>
      <c r="R13" s="114"/>
      <c r="S13" s="114"/>
      <c r="U13" s="21" t="s">
        <v>127</v>
      </c>
      <c r="V13" s="21"/>
      <c r="W13" s="115">
        <f t="shared" si="0"/>
        <v>0</v>
      </c>
      <c r="X13" s="115">
        <f t="shared" si="0"/>
        <v>0</v>
      </c>
      <c r="Y13" s="115">
        <f t="shared" si="0"/>
        <v>0</v>
      </c>
      <c r="Z13" s="115">
        <f t="shared" si="0"/>
        <v>10</v>
      </c>
      <c r="AA13" s="115">
        <f t="shared" si="0"/>
        <v>32</v>
      </c>
      <c r="AB13" s="115">
        <f t="shared" si="0"/>
        <v>55.00000000000001</v>
      </c>
      <c r="AC13" s="115">
        <f t="shared" si="0"/>
        <v>80</v>
      </c>
      <c r="AD13" s="115">
        <f t="shared" si="0"/>
        <v>108</v>
      </c>
      <c r="AE13" s="115">
        <f t="shared" si="0"/>
        <v>141</v>
      </c>
      <c r="AF13" s="115">
        <f t="shared" si="0"/>
        <v>184.99999999999997</v>
      </c>
      <c r="AG13" s="115">
        <f t="shared" si="0"/>
        <v>243.00000000000003</v>
      </c>
      <c r="AH13" s="115">
        <f t="shared" si="0"/>
        <v>341</v>
      </c>
      <c r="AI13" s="115">
        <f t="shared" si="0"/>
        <v>531</v>
      </c>
      <c r="AJ13" s="115">
        <f t="shared" si="0"/>
        <v>720</v>
      </c>
    </row>
    <row r="14" spans="2:36" ht="12.75">
      <c r="B14" s="112" t="s">
        <v>128</v>
      </c>
      <c r="C14" s="112"/>
      <c r="D14" s="113"/>
      <c r="E14" s="113"/>
      <c r="F14" s="113">
        <v>0.1</v>
      </c>
      <c r="G14" s="113">
        <v>0.29</v>
      </c>
      <c r="H14" s="113">
        <v>0.5</v>
      </c>
      <c r="I14" s="113">
        <v>1.12</v>
      </c>
      <c r="J14" s="113">
        <v>1.36</v>
      </c>
      <c r="K14" s="113">
        <v>2.04</v>
      </c>
      <c r="L14" s="113">
        <v>2.39</v>
      </c>
      <c r="M14" s="113">
        <v>3.22</v>
      </c>
      <c r="N14" s="113">
        <v>4.2</v>
      </c>
      <c r="O14" s="113">
        <v>5.49</v>
      </c>
      <c r="P14" s="113">
        <v>8.59</v>
      </c>
      <c r="Q14" s="113">
        <v>12</v>
      </c>
      <c r="R14" s="114"/>
      <c r="S14" s="114"/>
      <c r="U14" s="21" t="s">
        <v>128</v>
      </c>
      <c r="V14" s="21"/>
      <c r="W14" s="115">
        <f t="shared" si="0"/>
        <v>0</v>
      </c>
      <c r="X14" s="115">
        <f t="shared" si="0"/>
        <v>0</v>
      </c>
      <c r="Y14" s="115">
        <f t="shared" si="0"/>
        <v>10</v>
      </c>
      <c r="Z14" s="115">
        <f t="shared" si="0"/>
        <v>28.999999999999996</v>
      </c>
      <c r="AA14" s="115">
        <f t="shared" si="0"/>
        <v>50</v>
      </c>
      <c r="AB14" s="115">
        <f t="shared" si="0"/>
        <v>72.00000000000001</v>
      </c>
      <c r="AC14" s="115">
        <f t="shared" si="0"/>
        <v>96</v>
      </c>
      <c r="AD14" s="115">
        <f t="shared" si="0"/>
        <v>124</v>
      </c>
      <c r="AE14" s="115">
        <f t="shared" si="0"/>
        <v>159</v>
      </c>
      <c r="AF14" s="115">
        <f t="shared" si="0"/>
        <v>202.00000000000003</v>
      </c>
      <c r="AG14" s="115">
        <f t="shared" si="0"/>
        <v>260</v>
      </c>
      <c r="AH14" s="115">
        <f t="shared" si="0"/>
        <v>349</v>
      </c>
      <c r="AI14" s="115">
        <f t="shared" si="0"/>
        <v>539</v>
      </c>
      <c r="AJ14" s="115">
        <f t="shared" si="0"/>
        <v>720</v>
      </c>
    </row>
    <row r="15" spans="2:36" ht="12.75">
      <c r="B15" s="112" t="s">
        <v>106</v>
      </c>
      <c r="C15" s="112"/>
      <c r="D15" s="113"/>
      <c r="E15" s="113">
        <v>0.1</v>
      </c>
      <c r="F15" s="113">
        <v>0.27</v>
      </c>
      <c r="G15" s="113">
        <v>0.46</v>
      </c>
      <c r="H15" s="113">
        <v>1.05</v>
      </c>
      <c r="I15" s="113">
        <v>1.26</v>
      </c>
      <c r="J15" s="113">
        <v>1.5</v>
      </c>
      <c r="K15" s="113">
        <v>2.2</v>
      </c>
      <c r="L15" s="113">
        <v>2.54</v>
      </c>
      <c r="M15" s="113">
        <v>3.37</v>
      </c>
      <c r="N15" s="113">
        <v>4.36</v>
      </c>
      <c r="O15" s="113">
        <v>6.03</v>
      </c>
      <c r="P15" s="113">
        <v>9.13</v>
      </c>
      <c r="Q15" s="113">
        <v>12</v>
      </c>
      <c r="R15" s="114"/>
      <c r="S15" s="114"/>
      <c r="U15" s="21" t="s">
        <v>106</v>
      </c>
      <c r="V15" s="21"/>
      <c r="W15" s="115">
        <f t="shared" si="0"/>
        <v>0</v>
      </c>
      <c r="X15" s="115">
        <f t="shared" si="0"/>
        <v>10</v>
      </c>
      <c r="Y15" s="115">
        <f t="shared" si="0"/>
        <v>27</v>
      </c>
      <c r="Z15" s="115">
        <f t="shared" si="0"/>
        <v>46</v>
      </c>
      <c r="AA15" s="115">
        <f t="shared" si="0"/>
        <v>65</v>
      </c>
      <c r="AB15" s="115">
        <f t="shared" si="0"/>
        <v>86</v>
      </c>
      <c r="AC15" s="115">
        <f t="shared" si="0"/>
        <v>110</v>
      </c>
      <c r="AD15" s="115">
        <f t="shared" si="0"/>
        <v>140.00000000000003</v>
      </c>
      <c r="AE15" s="115">
        <f t="shared" si="0"/>
        <v>174</v>
      </c>
      <c r="AF15" s="115">
        <f t="shared" si="0"/>
        <v>217</v>
      </c>
      <c r="AG15" s="115">
        <f t="shared" si="0"/>
        <v>276</v>
      </c>
      <c r="AH15" s="115">
        <f t="shared" si="0"/>
        <v>363</v>
      </c>
      <c r="AI15" s="115">
        <f t="shared" si="0"/>
        <v>553.0000000000001</v>
      </c>
      <c r="AJ15" s="115">
        <f t="shared" si="0"/>
        <v>720</v>
      </c>
    </row>
    <row r="16" spans="2:36" ht="12.75">
      <c r="B16" s="112" t="s">
        <v>129</v>
      </c>
      <c r="C16" s="112"/>
      <c r="D16" s="113">
        <v>0.1</v>
      </c>
      <c r="E16" s="113">
        <v>0.26</v>
      </c>
      <c r="F16" s="113">
        <v>0.43</v>
      </c>
      <c r="G16" s="113">
        <v>1</v>
      </c>
      <c r="H16" s="113">
        <v>1.19</v>
      </c>
      <c r="I16" s="113">
        <v>1.4</v>
      </c>
      <c r="J16" s="113">
        <v>2.06</v>
      </c>
      <c r="K16" s="113">
        <v>2.35</v>
      </c>
      <c r="L16" s="113">
        <v>3.09</v>
      </c>
      <c r="M16" s="113">
        <v>3.53</v>
      </c>
      <c r="N16" s="113">
        <v>4.5</v>
      </c>
      <c r="O16" s="113">
        <v>6.19</v>
      </c>
      <c r="P16" s="113">
        <v>9.29</v>
      </c>
      <c r="Q16" s="113">
        <v>12</v>
      </c>
      <c r="R16" s="114"/>
      <c r="S16" s="114"/>
      <c r="U16" s="21" t="s">
        <v>129</v>
      </c>
      <c r="V16" s="21"/>
      <c r="W16" s="115">
        <f t="shared" si="0"/>
        <v>10</v>
      </c>
      <c r="X16" s="115">
        <f t="shared" si="0"/>
        <v>26</v>
      </c>
      <c r="Y16" s="115">
        <f t="shared" si="0"/>
        <v>43</v>
      </c>
      <c r="Z16" s="115">
        <f t="shared" si="0"/>
        <v>60</v>
      </c>
      <c r="AA16" s="115">
        <f t="shared" si="0"/>
        <v>79</v>
      </c>
      <c r="AB16" s="115">
        <f t="shared" si="0"/>
        <v>100</v>
      </c>
      <c r="AC16" s="115">
        <f t="shared" si="0"/>
        <v>126</v>
      </c>
      <c r="AD16" s="115">
        <f t="shared" si="0"/>
        <v>155</v>
      </c>
      <c r="AE16" s="115">
        <f t="shared" si="0"/>
        <v>189</v>
      </c>
      <c r="AF16" s="115">
        <f t="shared" si="0"/>
        <v>232.99999999999997</v>
      </c>
      <c r="AG16" s="115">
        <f t="shared" si="0"/>
        <v>290</v>
      </c>
      <c r="AH16" s="115">
        <f t="shared" si="0"/>
        <v>379.00000000000006</v>
      </c>
      <c r="AI16" s="115">
        <f t="shared" si="0"/>
        <v>568.9999999999999</v>
      </c>
      <c r="AJ16" s="115">
        <f t="shared" si="0"/>
        <v>720</v>
      </c>
    </row>
    <row r="17" spans="2:36" ht="12.75">
      <c r="B17" s="112" t="s">
        <v>130</v>
      </c>
      <c r="C17" s="116">
        <v>0.1</v>
      </c>
      <c r="D17" s="113">
        <v>0.25</v>
      </c>
      <c r="E17" s="113">
        <v>0.4</v>
      </c>
      <c r="F17" s="113">
        <v>0.55</v>
      </c>
      <c r="G17" s="113">
        <v>1.12</v>
      </c>
      <c r="H17" s="113">
        <v>1.31</v>
      </c>
      <c r="I17" s="113">
        <v>1.54</v>
      </c>
      <c r="J17" s="113">
        <v>2.19</v>
      </c>
      <c r="K17" s="113">
        <v>2.48</v>
      </c>
      <c r="L17" s="113">
        <v>3.23</v>
      </c>
      <c r="M17" s="113">
        <v>4.05</v>
      </c>
      <c r="N17" s="113">
        <v>5.04</v>
      </c>
      <c r="O17" s="113">
        <v>6.33</v>
      </c>
      <c r="P17" s="113">
        <v>9.44</v>
      </c>
      <c r="Q17" s="113">
        <v>12</v>
      </c>
      <c r="R17" s="114"/>
      <c r="S17" s="114"/>
      <c r="U17" s="21" t="s">
        <v>130</v>
      </c>
      <c r="V17" s="21"/>
      <c r="W17" s="115">
        <f t="shared" si="0"/>
        <v>25</v>
      </c>
      <c r="X17" s="115">
        <f t="shared" si="0"/>
        <v>40</v>
      </c>
      <c r="Y17" s="115">
        <f t="shared" si="0"/>
        <v>55.00000000000001</v>
      </c>
      <c r="Z17" s="115">
        <f t="shared" si="0"/>
        <v>72.00000000000001</v>
      </c>
      <c r="AA17" s="115">
        <f t="shared" si="0"/>
        <v>91</v>
      </c>
      <c r="AB17" s="115">
        <f t="shared" si="0"/>
        <v>114</v>
      </c>
      <c r="AC17" s="115">
        <f t="shared" si="0"/>
        <v>139</v>
      </c>
      <c r="AD17" s="115">
        <f t="shared" si="0"/>
        <v>168</v>
      </c>
      <c r="AE17" s="115">
        <f t="shared" si="0"/>
        <v>203</v>
      </c>
      <c r="AF17" s="115">
        <f t="shared" si="0"/>
        <v>244.99999999999997</v>
      </c>
      <c r="AG17" s="115">
        <f t="shared" si="0"/>
        <v>304</v>
      </c>
      <c r="AH17" s="115">
        <f t="shared" si="0"/>
        <v>393</v>
      </c>
      <c r="AI17" s="115">
        <f t="shared" si="0"/>
        <v>584</v>
      </c>
      <c r="AJ17" s="115">
        <f t="shared" si="0"/>
        <v>720</v>
      </c>
    </row>
    <row r="18" spans="2:36" ht="12.75">
      <c r="B18" s="112"/>
      <c r="C18" s="112"/>
      <c r="D18" s="112" t="s">
        <v>130</v>
      </c>
      <c r="E18" s="112" t="s">
        <v>129</v>
      </c>
      <c r="F18" s="112" t="s">
        <v>106</v>
      </c>
      <c r="G18" s="112" t="s">
        <v>128</v>
      </c>
      <c r="H18" s="112" t="s">
        <v>127</v>
      </c>
      <c r="I18" s="112" t="s">
        <v>126</v>
      </c>
      <c r="J18" s="112" t="s">
        <v>125</v>
      </c>
      <c r="K18" s="112" t="s">
        <v>123</v>
      </c>
      <c r="L18" s="112" t="s">
        <v>124</v>
      </c>
      <c r="M18" s="112" t="s">
        <v>122</v>
      </c>
      <c r="N18" s="112" t="s">
        <v>121</v>
      </c>
      <c r="O18" s="112" t="s">
        <v>120</v>
      </c>
      <c r="P18" s="112" t="s">
        <v>119</v>
      </c>
      <c r="Q18" s="112" t="s">
        <v>118</v>
      </c>
      <c r="T18" s="21"/>
      <c r="U18" s="21"/>
      <c r="W18" s="21" t="s">
        <v>130</v>
      </c>
      <c r="X18" s="21" t="s">
        <v>129</v>
      </c>
      <c r="Y18" s="21" t="s">
        <v>106</v>
      </c>
      <c r="Z18" s="21" t="s">
        <v>128</v>
      </c>
      <c r="AA18" s="21" t="s">
        <v>127</v>
      </c>
      <c r="AB18" s="21" t="s">
        <v>126</v>
      </c>
      <c r="AC18" s="21" t="s">
        <v>125</v>
      </c>
      <c r="AD18" s="21" t="s">
        <v>123</v>
      </c>
      <c r="AE18" s="21" t="s">
        <v>124</v>
      </c>
      <c r="AF18" s="21" t="s">
        <v>122</v>
      </c>
      <c r="AG18" s="21" t="s">
        <v>121</v>
      </c>
      <c r="AH18" s="21" t="s">
        <v>120</v>
      </c>
      <c r="AI18" s="21" t="s">
        <v>119</v>
      </c>
      <c r="AJ18" s="21" t="s">
        <v>118</v>
      </c>
    </row>
    <row r="19" spans="2:17" ht="12.75">
      <c r="B19" s="112">
        <v>12</v>
      </c>
      <c r="C19" s="112"/>
      <c r="D19" s="117">
        <v>213</v>
      </c>
      <c r="E19" s="117">
        <v>187</v>
      </c>
      <c r="F19" s="117">
        <v>161</v>
      </c>
      <c r="G19" s="117">
        <v>138</v>
      </c>
      <c r="H19" s="117">
        <v>116</v>
      </c>
      <c r="I19" s="117">
        <v>101</v>
      </c>
      <c r="J19" s="117">
        <v>87</v>
      </c>
      <c r="K19" s="117">
        <v>73</v>
      </c>
      <c r="L19" s="117">
        <v>61</v>
      </c>
      <c r="M19" s="117">
        <v>49</v>
      </c>
      <c r="N19" s="117">
        <v>37</v>
      </c>
      <c r="O19" s="117">
        <v>25</v>
      </c>
      <c r="P19" s="117">
        <v>17</v>
      </c>
      <c r="Q19" s="117">
        <v>7</v>
      </c>
    </row>
    <row r="20" spans="2:36" ht="12.75">
      <c r="B20" s="112">
        <v>15</v>
      </c>
      <c r="C20" s="112"/>
      <c r="D20" s="117">
        <v>142</v>
      </c>
      <c r="E20" s="117">
        <v>124</v>
      </c>
      <c r="F20" s="117">
        <v>111</v>
      </c>
      <c r="G20" s="117">
        <v>99</v>
      </c>
      <c r="H20" s="117">
        <v>87</v>
      </c>
      <c r="I20" s="117">
        <v>76</v>
      </c>
      <c r="J20" s="117">
        <v>66</v>
      </c>
      <c r="K20" s="117">
        <v>56</v>
      </c>
      <c r="L20" s="117">
        <v>47</v>
      </c>
      <c r="M20" s="117">
        <v>38</v>
      </c>
      <c r="N20" s="117">
        <v>29</v>
      </c>
      <c r="O20" s="117">
        <v>21</v>
      </c>
      <c r="P20" s="117">
        <v>13</v>
      </c>
      <c r="Q20" s="117">
        <v>6</v>
      </c>
      <c r="W20">
        <f>VLOOKUP(Planning!$E$9,$U$4:$AJ$17,W$3)</f>
        <v>0</v>
      </c>
      <c r="X20">
        <f>VLOOKUP(Planning!$E$9,$U$4:$AJ$17,X$3)</f>
        <v>10</v>
      </c>
      <c r="Y20">
        <f>VLOOKUP(Planning!$E$9,$U$4:$AJ$17,Y$3)</f>
        <v>26</v>
      </c>
      <c r="Z20">
        <f>VLOOKUP(Planning!$E$9,$U$4:$AJ$17,Z$3)</f>
        <v>43</v>
      </c>
      <c r="AA20">
        <f>VLOOKUP(Planning!$E$9,$U$4:$AJ$17,AA$3)</f>
        <v>60</v>
      </c>
      <c r="AB20">
        <f>VLOOKUP(Planning!$E$9,$U$4:$AJ$17,AB$3)</f>
        <v>79</v>
      </c>
      <c r="AC20">
        <f>VLOOKUP(Planning!$E$9,$U$4:$AJ$17,AC$3)</f>
        <v>100</v>
      </c>
      <c r="AD20">
        <f>VLOOKUP(Planning!$E$9,$U$4:$AJ$17,AD$3)</f>
        <v>126</v>
      </c>
      <c r="AE20">
        <f>VLOOKUP(Planning!$E$9,$U$4:$AJ$17,AE$3)</f>
        <v>155</v>
      </c>
      <c r="AF20">
        <f>VLOOKUP(Planning!$E$9,$U$4:$AJ$17,AF$3)</f>
        <v>189</v>
      </c>
      <c r="AG20">
        <f>VLOOKUP(Planning!$E$9,$U$4:$AJ$17,AG$3)</f>
        <v>232.99999999999997</v>
      </c>
      <c r="AH20">
        <f>VLOOKUP(Planning!$E$9,$U$4:$AJ$17,AH$3)</f>
        <v>290</v>
      </c>
      <c r="AI20">
        <f>VLOOKUP(Planning!$E$9,$U$4:$AJ$17,AI$3)</f>
        <v>379.00000000000006</v>
      </c>
      <c r="AJ20">
        <f>VLOOKUP(Planning!$E$9,$U$4:$AJ$17,AJ$3)</f>
        <v>568.9999999999999</v>
      </c>
    </row>
    <row r="21" spans="2:36" ht="12.75">
      <c r="B21" s="112">
        <v>18</v>
      </c>
      <c r="C21" s="112"/>
      <c r="D21" s="117">
        <v>107</v>
      </c>
      <c r="E21" s="117">
        <v>97</v>
      </c>
      <c r="F21" s="117">
        <v>88</v>
      </c>
      <c r="G21" s="117">
        <v>79</v>
      </c>
      <c r="H21" s="117">
        <v>70</v>
      </c>
      <c r="I21" s="117">
        <v>61</v>
      </c>
      <c r="J21" s="117">
        <v>52</v>
      </c>
      <c r="K21" s="117">
        <v>44</v>
      </c>
      <c r="L21" s="117">
        <v>36</v>
      </c>
      <c r="M21" s="117">
        <v>30</v>
      </c>
      <c r="N21" s="117">
        <v>24</v>
      </c>
      <c r="O21" s="117">
        <v>17</v>
      </c>
      <c r="P21" s="117">
        <v>11</v>
      </c>
      <c r="Q21" s="117">
        <v>5</v>
      </c>
      <c r="U21" t="str">
        <f>HLOOKUP(Planning!D30,Tussentijd!W20:AJ21,2)</f>
        <v>D</v>
      </c>
      <c r="W21" t="str">
        <f>W18</f>
        <v>N</v>
      </c>
      <c r="X21" t="str">
        <f aca="true" t="shared" si="1" ref="X21:AJ21">X18</f>
        <v>M</v>
      </c>
      <c r="Y21" t="str">
        <f t="shared" si="1"/>
        <v>L</v>
      </c>
      <c r="Z21" t="str">
        <f t="shared" si="1"/>
        <v>K</v>
      </c>
      <c r="AA21" t="str">
        <f t="shared" si="1"/>
        <v>J</v>
      </c>
      <c r="AB21" t="str">
        <f t="shared" si="1"/>
        <v>I</v>
      </c>
      <c r="AC21" t="str">
        <f t="shared" si="1"/>
        <v>H</v>
      </c>
      <c r="AD21" t="str">
        <f t="shared" si="1"/>
        <v>G</v>
      </c>
      <c r="AE21" t="str">
        <f t="shared" si="1"/>
        <v>F</v>
      </c>
      <c r="AF21" t="str">
        <f t="shared" si="1"/>
        <v>E</v>
      </c>
      <c r="AG21" t="str">
        <f t="shared" si="1"/>
        <v>D</v>
      </c>
      <c r="AH21" t="str">
        <f t="shared" si="1"/>
        <v>C</v>
      </c>
      <c r="AI21" t="str">
        <f t="shared" si="1"/>
        <v>B</v>
      </c>
      <c r="AJ21" t="str">
        <f t="shared" si="1"/>
        <v>A</v>
      </c>
    </row>
    <row r="22" spans="2:17" ht="12.75">
      <c r="B22" s="112">
        <v>21</v>
      </c>
      <c r="C22" s="112"/>
      <c r="D22" s="117">
        <v>87</v>
      </c>
      <c r="E22" s="117">
        <v>80</v>
      </c>
      <c r="F22" s="117">
        <v>72</v>
      </c>
      <c r="G22" s="117">
        <v>64</v>
      </c>
      <c r="H22" s="117">
        <v>57</v>
      </c>
      <c r="I22" s="117">
        <v>50</v>
      </c>
      <c r="J22" s="117">
        <v>43</v>
      </c>
      <c r="K22" s="117">
        <v>37</v>
      </c>
      <c r="L22" s="117">
        <v>31</v>
      </c>
      <c r="M22" s="117">
        <v>26</v>
      </c>
      <c r="N22" s="117">
        <v>20</v>
      </c>
      <c r="O22" s="117">
        <v>15</v>
      </c>
      <c r="P22" s="117">
        <v>9</v>
      </c>
      <c r="Q22" s="117">
        <v>4</v>
      </c>
    </row>
    <row r="23" spans="2:17" ht="12.75">
      <c r="B23" s="112">
        <v>24</v>
      </c>
      <c r="C23" s="112"/>
      <c r="D23" s="117">
        <v>73</v>
      </c>
      <c r="E23" s="117">
        <v>68</v>
      </c>
      <c r="F23" s="117">
        <v>61</v>
      </c>
      <c r="G23" s="117">
        <v>54</v>
      </c>
      <c r="H23" s="117">
        <v>48</v>
      </c>
      <c r="I23" s="117">
        <v>43</v>
      </c>
      <c r="J23" s="117">
        <v>38</v>
      </c>
      <c r="K23" s="117">
        <v>32</v>
      </c>
      <c r="L23" s="117">
        <v>28</v>
      </c>
      <c r="M23" s="117">
        <v>23</v>
      </c>
      <c r="N23" s="117">
        <v>18</v>
      </c>
      <c r="O23" s="117">
        <v>13</v>
      </c>
      <c r="P23" s="117">
        <v>8</v>
      </c>
      <c r="Q23" s="117">
        <v>4</v>
      </c>
    </row>
    <row r="24" spans="2:17" ht="12.75">
      <c r="B24" s="112">
        <v>27</v>
      </c>
      <c r="C24" s="112"/>
      <c r="D24" s="117">
        <v>64</v>
      </c>
      <c r="E24" s="117">
        <v>58</v>
      </c>
      <c r="F24" s="117">
        <v>53</v>
      </c>
      <c r="G24" s="117">
        <v>47</v>
      </c>
      <c r="H24" s="117">
        <v>43</v>
      </c>
      <c r="I24" s="117">
        <v>38</v>
      </c>
      <c r="J24" s="117">
        <v>33</v>
      </c>
      <c r="K24" s="117">
        <v>29</v>
      </c>
      <c r="L24" s="117">
        <v>24</v>
      </c>
      <c r="M24" s="117">
        <v>20</v>
      </c>
      <c r="N24" s="117">
        <v>16</v>
      </c>
      <c r="O24" s="117">
        <v>11</v>
      </c>
      <c r="P24" s="117">
        <v>7</v>
      </c>
      <c r="Q24" s="117">
        <v>3</v>
      </c>
    </row>
    <row r="25" spans="2:17" ht="12.75">
      <c r="B25" s="112">
        <v>30</v>
      </c>
      <c r="C25" s="112"/>
      <c r="D25" s="117">
        <v>57</v>
      </c>
      <c r="E25" s="117">
        <v>52</v>
      </c>
      <c r="F25" s="117">
        <v>48</v>
      </c>
      <c r="G25" s="117">
        <v>43</v>
      </c>
      <c r="H25" s="117">
        <v>38</v>
      </c>
      <c r="I25" s="117">
        <v>34</v>
      </c>
      <c r="J25" s="117">
        <v>30</v>
      </c>
      <c r="K25" s="117">
        <v>26</v>
      </c>
      <c r="L25" s="117">
        <v>22</v>
      </c>
      <c r="M25" s="117">
        <v>18</v>
      </c>
      <c r="N25" s="117">
        <v>14</v>
      </c>
      <c r="O25" s="117">
        <v>10</v>
      </c>
      <c r="P25" s="117">
        <v>7</v>
      </c>
      <c r="Q25" s="117">
        <v>3</v>
      </c>
    </row>
    <row r="26" spans="2:17" ht="12.75">
      <c r="B26" s="112">
        <v>33</v>
      </c>
      <c r="C26" s="112"/>
      <c r="D26" s="117">
        <v>51</v>
      </c>
      <c r="E26" s="117">
        <v>47</v>
      </c>
      <c r="F26" s="117">
        <v>42</v>
      </c>
      <c r="G26" s="117">
        <v>38</v>
      </c>
      <c r="H26" s="117">
        <v>34</v>
      </c>
      <c r="I26" s="117">
        <v>31</v>
      </c>
      <c r="J26" s="117">
        <v>27</v>
      </c>
      <c r="K26" s="117">
        <v>24</v>
      </c>
      <c r="L26" s="117">
        <v>20</v>
      </c>
      <c r="M26" s="117">
        <v>16</v>
      </c>
      <c r="N26" s="117">
        <v>13</v>
      </c>
      <c r="O26" s="117">
        <v>10</v>
      </c>
      <c r="P26" s="117">
        <v>6</v>
      </c>
      <c r="Q26" s="117">
        <v>3</v>
      </c>
    </row>
    <row r="27" spans="2:17" ht="12.75">
      <c r="B27" s="112">
        <v>36</v>
      </c>
      <c r="C27" s="112"/>
      <c r="D27" s="117">
        <v>46</v>
      </c>
      <c r="E27" s="117">
        <v>43</v>
      </c>
      <c r="F27" s="117">
        <v>39</v>
      </c>
      <c r="G27" s="117">
        <v>35</v>
      </c>
      <c r="H27" s="117">
        <v>32</v>
      </c>
      <c r="I27" s="117">
        <v>28</v>
      </c>
      <c r="J27" s="117">
        <v>25</v>
      </c>
      <c r="K27" s="117">
        <v>21</v>
      </c>
      <c r="L27" s="117">
        <v>18</v>
      </c>
      <c r="M27" s="117">
        <v>15</v>
      </c>
      <c r="N27" s="117">
        <v>12</v>
      </c>
      <c r="O27" s="117">
        <v>9</v>
      </c>
      <c r="P27" s="117">
        <v>6</v>
      </c>
      <c r="Q27" s="117">
        <v>3</v>
      </c>
    </row>
    <row r="28" spans="2:17" ht="12.75">
      <c r="B28" s="112">
        <v>39</v>
      </c>
      <c r="C28" s="112"/>
      <c r="D28" s="117">
        <v>40</v>
      </c>
      <c r="E28" s="117">
        <v>38</v>
      </c>
      <c r="F28" s="117">
        <v>35</v>
      </c>
      <c r="G28" s="117">
        <v>31</v>
      </c>
      <c r="H28" s="117">
        <v>28</v>
      </c>
      <c r="I28" s="117">
        <v>25</v>
      </c>
      <c r="J28" s="117">
        <v>22</v>
      </c>
      <c r="K28" s="117">
        <v>19</v>
      </c>
      <c r="L28" s="117">
        <v>16</v>
      </c>
      <c r="M28" s="117">
        <v>14</v>
      </c>
      <c r="N28" s="117">
        <v>11</v>
      </c>
      <c r="O28" s="117">
        <v>8</v>
      </c>
      <c r="P28" s="117">
        <v>6</v>
      </c>
      <c r="Q28" s="117">
        <v>3</v>
      </c>
    </row>
    <row r="29" spans="2:17" ht="12.75">
      <c r="B29" s="112">
        <v>42</v>
      </c>
      <c r="C29" s="112"/>
      <c r="D29" s="117">
        <v>38</v>
      </c>
      <c r="E29" s="117">
        <v>35</v>
      </c>
      <c r="F29" s="117">
        <v>32</v>
      </c>
      <c r="G29" s="117">
        <v>29</v>
      </c>
      <c r="H29" s="117">
        <v>26</v>
      </c>
      <c r="I29" s="117">
        <v>23</v>
      </c>
      <c r="J29" s="117">
        <v>20</v>
      </c>
      <c r="K29" s="117">
        <v>18</v>
      </c>
      <c r="L29" s="117">
        <v>15</v>
      </c>
      <c r="M29" s="117">
        <v>13</v>
      </c>
      <c r="N29" s="117">
        <v>10</v>
      </c>
      <c r="O29" s="117">
        <v>7</v>
      </c>
      <c r="P29" s="117">
        <v>5</v>
      </c>
      <c r="Q29" s="117">
        <v>2</v>
      </c>
    </row>
    <row r="30" spans="2:17" ht="12.75">
      <c r="B30" s="112">
        <v>45</v>
      </c>
      <c r="C30" s="112"/>
      <c r="D30" s="117">
        <v>35</v>
      </c>
      <c r="E30" s="117">
        <v>32</v>
      </c>
      <c r="F30" s="117">
        <v>30</v>
      </c>
      <c r="G30" s="117">
        <v>27</v>
      </c>
      <c r="H30" s="117">
        <v>24</v>
      </c>
      <c r="I30" s="117">
        <v>22</v>
      </c>
      <c r="J30" s="117">
        <v>19</v>
      </c>
      <c r="K30" s="117">
        <v>17</v>
      </c>
      <c r="L30" s="117">
        <v>14</v>
      </c>
      <c r="M30" s="117">
        <v>12</v>
      </c>
      <c r="N30" s="117">
        <v>9</v>
      </c>
      <c r="O30" s="117">
        <v>7</v>
      </c>
      <c r="P30" s="117">
        <v>5</v>
      </c>
      <c r="Q30" s="117">
        <v>2</v>
      </c>
    </row>
    <row r="31" spans="2:17" ht="12.75">
      <c r="B31" s="112">
        <v>48</v>
      </c>
      <c r="C31" s="112"/>
      <c r="D31" s="117">
        <v>33</v>
      </c>
      <c r="E31" s="117">
        <v>31</v>
      </c>
      <c r="F31" s="117">
        <v>28</v>
      </c>
      <c r="G31" s="117">
        <v>26</v>
      </c>
      <c r="H31" s="117">
        <v>23</v>
      </c>
      <c r="I31" s="117">
        <v>20</v>
      </c>
      <c r="J31" s="117">
        <v>18</v>
      </c>
      <c r="K31" s="117">
        <v>16</v>
      </c>
      <c r="L31" s="117">
        <v>13</v>
      </c>
      <c r="M31" s="117">
        <v>11</v>
      </c>
      <c r="N31" s="117">
        <v>9</v>
      </c>
      <c r="O31" s="117">
        <v>6</v>
      </c>
      <c r="P31" s="117">
        <v>4</v>
      </c>
      <c r="Q31" s="117">
        <v>2</v>
      </c>
    </row>
    <row r="32" spans="2:17" ht="12.75">
      <c r="B32" s="112">
        <v>51</v>
      </c>
      <c r="C32" s="112"/>
      <c r="D32" s="117">
        <v>31</v>
      </c>
      <c r="E32" s="117">
        <v>29</v>
      </c>
      <c r="F32" s="117">
        <v>26</v>
      </c>
      <c r="G32" s="117">
        <v>24</v>
      </c>
      <c r="H32" s="112">
        <v>22</v>
      </c>
      <c r="I32" s="117">
        <v>19</v>
      </c>
      <c r="J32" s="117">
        <v>17</v>
      </c>
      <c r="K32" s="117">
        <v>15</v>
      </c>
      <c r="L32" s="117">
        <v>12</v>
      </c>
      <c r="M32" s="117">
        <v>10</v>
      </c>
      <c r="N32" s="117">
        <v>8</v>
      </c>
      <c r="O32" s="117">
        <v>6</v>
      </c>
      <c r="P32" s="117">
        <v>4</v>
      </c>
      <c r="Q32" s="117">
        <v>2</v>
      </c>
    </row>
    <row r="33" spans="2:17" ht="12.75">
      <c r="B33" s="112">
        <v>54</v>
      </c>
      <c r="C33" s="112"/>
      <c r="D33" s="117">
        <v>29</v>
      </c>
      <c r="E33" s="117">
        <v>27</v>
      </c>
      <c r="F33" s="117">
        <v>25</v>
      </c>
      <c r="G33" s="117">
        <v>22</v>
      </c>
      <c r="H33" s="117">
        <v>20</v>
      </c>
      <c r="I33" s="117">
        <v>18</v>
      </c>
      <c r="J33" s="117">
        <v>16</v>
      </c>
      <c r="K33" s="117">
        <v>14</v>
      </c>
      <c r="L33" s="117">
        <v>11</v>
      </c>
      <c r="M33" s="117">
        <v>10</v>
      </c>
      <c r="N33" s="117">
        <v>8</v>
      </c>
      <c r="O33" s="117">
        <v>6</v>
      </c>
      <c r="P33" s="117">
        <v>4</v>
      </c>
      <c r="Q33" s="117">
        <v>2</v>
      </c>
    </row>
    <row r="34" spans="2:17" ht="12.75">
      <c r="B34" s="112">
        <v>57</v>
      </c>
      <c r="C34" s="112"/>
      <c r="D34" s="117">
        <v>28</v>
      </c>
      <c r="E34" s="117">
        <v>26</v>
      </c>
      <c r="F34" s="117">
        <v>24</v>
      </c>
      <c r="G34" s="117">
        <v>21</v>
      </c>
      <c r="H34" s="117">
        <v>19</v>
      </c>
      <c r="I34" s="117">
        <v>17</v>
      </c>
      <c r="J34" s="117">
        <v>15</v>
      </c>
      <c r="K34" s="117">
        <v>13</v>
      </c>
      <c r="L34" s="117">
        <v>10</v>
      </c>
      <c r="M34" s="117">
        <v>10</v>
      </c>
      <c r="N34" s="117">
        <v>8</v>
      </c>
      <c r="O34" s="117">
        <v>6</v>
      </c>
      <c r="P34" s="117">
        <v>4</v>
      </c>
      <c r="Q34" s="117">
        <v>2</v>
      </c>
    </row>
    <row r="35" spans="2:17" ht="12.75">
      <c r="B35" s="112">
        <v>60</v>
      </c>
      <c r="C35" s="112"/>
      <c r="D35" s="117" t="s">
        <v>137</v>
      </c>
      <c r="E35" s="117" t="s">
        <v>137</v>
      </c>
      <c r="F35" s="117" t="s">
        <v>137</v>
      </c>
      <c r="G35" s="117" t="s">
        <v>137</v>
      </c>
      <c r="H35" s="117" t="s">
        <v>137</v>
      </c>
      <c r="I35" s="117" t="s">
        <v>137</v>
      </c>
      <c r="J35" s="117" t="s">
        <v>137</v>
      </c>
      <c r="K35" s="117" t="s">
        <v>137</v>
      </c>
      <c r="L35" s="117" t="s">
        <v>137</v>
      </c>
      <c r="M35" s="117" t="s">
        <v>137</v>
      </c>
      <c r="N35" s="117" t="s">
        <v>137</v>
      </c>
      <c r="O35" s="117" t="s">
        <v>137</v>
      </c>
      <c r="P35" s="117" t="s">
        <v>137</v>
      </c>
      <c r="Q35" s="117" t="s">
        <v>137</v>
      </c>
    </row>
    <row r="37" spans="4:17" ht="12.75">
      <c r="D37" s="21">
        <v>16</v>
      </c>
      <c r="E37" s="21">
        <v>15</v>
      </c>
      <c r="F37" s="21">
        <v>14</v>
      </c>
      <c r="G37" s="21">
        <v>13</v>
      </c>
      <c r="H37" s="21">
        <v>12</v>
      </c>
      <c r="I37" s="21">
        <v>11</v>
      </c>
      <c r="J37" s="21">
        <v>10</v>
      </c>
      <c r="K37" s="21">
        <v>9</v>
      </c>
      <c r="L37" s="21">
        <v>8</v>
      </c>
      <c r="M37" s="21">
        <v>7</v>
      </c>
      <c r="N37" s="21">
        <v>6</v>
      </c>
      <c r="O37" s="21">
        <v>5</v>
      </c>
      <c r="P37" s="21">
        <v>4</v>
      </c>
      <c r="Q37" s="21">
        <v>3</v>
      </c>
    </row>
    <row r="38" spans="4:17" ht="12.75">
      <c r="D38" s="21" t="s">
        <v>118</v>
      </c>
      <c r="E38" s="21" t="s">
        <v>119</v>
      </c>
      <c r="F38" s="21" t="s">
        <v>120</v>
      </c>
      <c r="G38" s="21" t="s">
        <v>121</v>
      </c>
      <c r="H38" s="21" t="s">
        <v>122</v>
      </c>
      <c r="I38" s="21" t="s">
        <v>124</v>
      </c>
      <c r="J38" s="21" t="s">
        <v>123</v>
      </c>
      <c r="K38" s="21" t="s">
        <v>125</v>
      </c>
      <c r="L38" s="21" t="s">
        <v>126</v>
      </c>
      <c r="M38" s="21" t="s">
        <v>127</v>
      </c>
      <c r="N38" s="21" t="s">
        <v>128</v>
      </c>
      <c r="O38" s="21" t="s">
        <v>106</v>
      </c>
      <c r="P38" s="21" t="s">
        <v>129</v>
      </c>
      <c r="Q38" s="21" t="s">
        <v>130</v>
      </c>
    </row>
    <row r="39" spans="2:17" ht="12.75">
      <c r="B39" s="21">
        <f>HLOOKUP(U21,D38:Q39,2)</f>
        <v>13</v>
      </c>
      <c r="D39" s="21">
        <f>VLOOKUP('[1]Berekening'!$C$12,'[1]Tussentijd'!$B$19:$Q$35,'[1]Tussentijd'!D$37)</f>
        <v>3</v>
      </c>
      <c r="E39" s="21">
        <f>VLOOKUP('[1]Berekening'!$C$12,'[1]Tussentijd'!$B$19:$Q$35,'[1]Tussentijd'!E$37)</f>
        <v>6</v>
      </c>
      <c r="F39" s="21">
        <f>VLOOKUP('[1]Berekening'!$C$12,'[1]Tussentijd'!$B$19:$Q$35,'[1]Tussentijd'!F$37)</f>
        <v>10</v>
      </c>
      <c r="G39" s="21">
        <f>VLOOKUP('[1]Berekening'!$C$12,'[1]Tussentijd'!$B$19:$Q$35,'[1]Tussentijd'!G$37)</f>
        <v>13</v>
      </c>
      <c r="H39" s="21">
        <f>VLOOKUP('[1]Berekening'!$C$12,'[1]Tussentijd'!$B$19:$Q$35,'[1]Tussentijd'!H$37)</f>
        <v>16</v>
      </c>
      <c r="I39" s="21">
        <f>VLOOKUP('[1]Berekening'!$C$12,'[1]Tussentijd'!$B$19:$Q$35,'[1]Tussentijd'!I$37)</f>
        <v>20</v>
      </c>
      <c r="J39" s="21">
        <f>VLOOKUP('[1]Berekening'!$C$12,'[1]Tussentijd'!$B$19:$Q$35,'[1]Tussentijd'!J$37)</f>
        <v>24</v>
      </c>
      <c r="K39" s="21">
        <f>VLOOKUP('[1]Berekening'!$C$12,'[1]Tussentijd'!$B$19:$Q$35,'[1]Tussentijd'!K$37)</f>
        <v>27</v>
      </c>
      <c r="L39" s="21">
        <f>VLOOKUP('[1]Berekening'!$C$12,'[1]Tussentijd'!$B$19:$Q$35,'[1]Tussentijd'!L$37)</f>
        <v>31</v>
      </c>
      <c r="M39" s="21">
        <f>VLOOKUP('[1]Berekening'!$C$12,'[1]Tussentijd'!$B$19:$Q$35,'[1]Tussentijd'!M$37)</f>
        <v>34</v>
      </c>
      <c r="N39" s="21">
        <f>VLOOKUP('[1]Berekening'!$C$12,'[1]Tussentijd'!$B$19:$Q$35,'[1]Tussentijd'!N$37)</f>
        <v>38</v>
      </c>
      <c r="O39" s="21">
        <f>VLOOKUP('[1]Berekening'!$C$12,'[1]Tussentijd'!$B$19:$Q$35,'[1]Tussentijd'!O$37)</f>
        <v>42</v>
      </c>
      <c r="P39" s="21">
        <f>VLOOKUP('[1]Berekening'!$C$12,'[1]Tussentijd'!$B$19:$Q$35,'[1]Tussentijd'!P$37)</f>
        <v>47</v>
      </c>
      <c r="Q39" s="21">
        <f>VLOOKUP('[1]Berekening'!$C$12,'[1]Tussentijd'!$B$19:$Q$35,'[1]Tussentijd'!Q$37)</f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hoeserlande.p</dc:creator>
  <cp:keywords/>
  <dc:description/>
  <cp:lastModifiedBy>Patrick Van Hoeserlande</cp:lastModifiedBy>
  <cp:lastPrinted>2005-06-08T22:18:08Z</cp:lastPrinted>
  <dcterms:created xsi:type="dcterms:W3CDTF">2005-06-06T19:29:09Z</dcterms:created>
  <dcterms:modified xsi:type="dcterms:W3CDTF">2007-10-03T12:57:03Z</dcterms:modified>
  <cp:category/>
  <cp:version/>
  <cp:contentType/>
  <cp:contentStatus/>
</cp:coreProperties>
</file>